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ate1904="1" codeName="ThisWorkbook"/>
  <mc:AlternateContent xmlns:mc="http://schemas.openxmlformats.org/markup-compatibility/2006">
    <mc:Choice Requires="x15">
      <x15ac:absPath xmlns:x15ac="http://schemas.microsoft.com/office/spreadsheetml/2010/11/ac" url="Y:\OSP\Electronic Research Administration\Website\Budget Templates\Current\New FY26\"/>
    </mc:Choice>
  </mc:AlternateContent>
  <xr:revisionPtr revIDLastSave="0" documentId="13_ncr:1_{C0617456-53B0-48AE-8190-D6E3B3098BA0}" xr6:coauthVersionLast="47" xr6:coauthVersionMax="47" xr10:uidLastSave="{00000000-0000-0000-0000-000000000000}"/>
  <bookViews>
    <workbookView xWindow="28680" yWindow="-120" windowWidth="29040" windowHeight="15720" tabRatio="624" xr2:uid="{00000000-000D-0000-FFFF-FFFF00000000}"/>
  </bookViews>
  <sheets>
    <sheet name="Generic 5yr Budget" sheetId="34" r:id="rId1"/>
    <sheet name="Look up tables" sheetId="31" state="hidden" r:id="rId2"/>
  </sheets>
  <definedNames>
    <definedName name="_xlnm._FilterDatabase" localSheetId="0" hidden="1">'Generic 5yr Budget'!$L$14:$N$17</definedName>
    <definedName name="Answers">'Look up tables'!$F$11:$F$12</definedName>
    <definedName name="Dates2027">'Look up tables'!$A$2:$A$102</definedName>
    <definedName name="_xlnm.Print_Area" localSheetId="0">'Generic 5yr Budget'!$A$2:$J$285</definedName>
    <definedName name="ValidProjectTypes">'Look up tables'!$F$2:$F$9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13" i="34" l="1"/>
  <c r="R212" i="34"/>
  <c r="R164" i="34"/>
  <c r="R163" i="34"/>
  <c r="R121" i="34"/>
  <c r="R120" i="34"/>
  <c r="R71" i="34"/>
  <c r="R72" i="34"/>
  <c r="N211" i="34"/>
  <c r="R162" i="34"/>
  <c r="N162" i="34"/>
  <c r="R119" i="34"/>
  <c r="N119" i="34"/>
  <c r="R70" i="34"/>
  <c r="N70" i="34"/>
  <c r="R25" i="34"/>
  <c r="N25" i="34"/>
  <c r="R211" i="34"/>
  <c r="N212" i="34"/>
  <c r="N163" i="34"/>
  <c r="N120" i="34"/>
  <c r="N71" i="34"/>
  <c r="R26" i="34"/>
  <c r="N26" i="34"/>
  <c r="N213" i="34"/>
  <c r="N164" i="34"/>
  <c r="N121" i="34"/>
  <c r="N72" i="34"/>
  <c r="R27" i="34"/>
  <c r="N27" i="34"/>
  <c r="M267" i="34"/>
  <c r="M268" i="34"/>
  <c r="M269" i="34"/>
  <c r="M266" i="34"/>
  <c r="L269" i="34"/>
  <c r="L268" i="34"/>
  <c r="L267" i="34"/>
  <c r="L266" i="34"/>
  <c r="L222" i="34"/>
  <c r="L221" i="34"/>
  <c r="L220" i="34"/>
  <c r="L219" i="34"/>
  <c r="L174" i="34"/>
  <c r="L173" i="34"/>
  <c r="L172" i="34"/>
  <c r="L171" i="34"/>
  <c r="L131" i="34"/>
  <c r="L130" i="34"/>
  <c r="L129" i="34"/>
  <c r="L128" i="34"/>
  <c r="L84" i="34"/>
  <c r="L83" i="34"/>
  <c r="L82" i="34"/>
  <c r="L81" i="34"/>
  <c r="H231" i="34"/>
  <c r="G231" i="34"/>
  <c r="F231" i="34"/>
  <c r="H184" i="34"/>
  <c r="G184" i="34"/>
  <c r="F184" i="34"/>
  <c r="H137" i="34"/>
  <c r="G137" i="34"/>
  <c r="F137" i="34"/>
  <c r="H90" i="34"/>
  <c r="G90" i="34"/>
  <c r="F90" i="34"/>
  <c r="N165" i="34" l="1"/>
  <c r="R165" i="34"/>
  <c r="H168" i="34"/>
  <c r="M120" i="34" l="1"/>
  <c r="M121" i="34"/>
  <c r="Q71" i="34"/>
  <c r="Q120" i="34" s="1"/>
  <c r="Q72" i="34"/>
  <c r="Q70" i="34"/>
  <c r="Q119" i="34" s="1"/>
  <c r="M71" i="34"/>
  <c r="M72" i="34"/>
  <c r="M70" i="34"/>
  <c r="M119" i="34" s="1"/>
  <c r="F58" i="34"/>
  <c r="Q163" i="34" l="1"/>
  <c r="Q162" i="34"/>
  <c r="Q121" i="34"/>
  <c r="C43" i="34"/>
  <c r="L43" i="34"/>
  <c r="E241" i="34"/>
  <c r="E240" i="34"/>
  <c r="G279" i="34"/>
  <c r="I275" i="34"/>
  <c r="I269" i="34"/>
  <c r="G275" i="34"/>
  <c r="I270" i="34"/>
  <c r="I271" i="34"/>
  <c r="I272" i="34"/>
  <c r="I273" i="34"/>
  <c r="I274" i="34"/>
  <c r="G269" i="34"/>
  <c r="H269" i="34"/>
  <c r="G273" i="34"/>
  <c r="H273" i="34"/>
  <c r="G274" i="34"/>
  <c r="H274" i="34"/>
  <c r="F273" i="34"/>
  <c r="F274" i="34"/>
  <c r="I254" i="34"/>
  <c r="E194" i="34"/>
  <c r="E193" i="34"/>
  <c r="F222" i="34"/>
  <c r="I216" i="34"/>
  <c r="G214" i="34"/>
  <c r="H214" i="34"/>
  <c r="F214" i="34"/>
  <c r="I211" i="34"/>
  <c r="E100" i="34"/>
  <c r="E99" i="34"/>
  <c r="E147" i="34"/>
  <c r="E146" i="34"/>
  <c r="F175" i="34"/>
  <c r="I169" i="34"/>
  <c r="G167" i="34"/>
  <c r="H167" i="34"/>
  <c r="F167" i="34"/>
  <c r="I164" i="34"/>
  <c r="F128" i="34"/>
  <c r="I122" i="34"/>
  <c r="G120" i="34"/>
  <c r="H120" i="34"/>
  <c r="F120" i="34"/>
  <c r="I117" i="34"/>
  <c r="E53" i="34"/>
  <c r="E52" i="34"/>
  <c r="H83" i="34"/>
  <c r="H130" i="34" s="1"/>
  <c r="H177" i="34" s="1"/>
  <c r="H224" i="34" s="1"/>
  <c r="H84" i="34"/>
  <c r="G83" i="34"/>
  <c r="G130" i="34" s="1"/>
  <c r="G177" i="34" s="1"/>
  <c r="G224" i="34" s="1"/>
  <c r="G84" i="34"/>
  <c r="G131" i="34" s="1"/>
  <c r="G178" i="34" s="1"/>
  <c r="G225" i="34" s="1"/>
  <c r="F83" i="34"/>
  <c r="F130" i="34" s="1"/>
  <c r="F177" i="34" s="1"/>
  <c r="F224" i="34" s="1"/>
  <c r="F84" i="34"/>
  <c r="F131" i="34" s="1"/>
  <c r="F178" i="34" s="1"/>
  <c r="F225" i="34" s="1"/>
  <c r="G82" i="34"/>
  <c r="G129" i="34" s="1"/>
  <c r="G176" i="34" s="1"/>
  <c r="G223" i="34" s="1"/>
  <c r="H82" i="34"/>
  <c r="H129" i="34" s="1"/>
  <c r="H176" i="34" s="1"/>
  <c r="H223" i="34" s="1"/>
  <c r="F82" i="34"/>
  <c r="F129" i="34" s="1"/>
  <c r="F176" i="34" s="1"/>
  <c r="F223" i="34" s="1"/>
  <c r="F81" i="34"/>
  <c r="F34" i="34"/>
  <c r="G43" i="34" l="1"/>
  <c r="R73" i="34"/>
  <c r="H74" i="34" s="1"/>
  <c r="Q211" i="34"/>
  <c r="R122" i="34"/>
  <c r="Q164" i="34"/>
  <c r="Q212" i="34"/>
  <c r="I170" i="34"/>
  <c r="I182" i="34" s="1"/>
  <c r="I186" i="34" s="1"/>
  <c r="H271" i="34"/>
  <c r="F270" i="34"/>
  <c r="H270" i="34"/>
  <c r="G272" i="34"/>
  <c r="R28" i="34"/>
  <c r="H27" i="34" s="1"/>
  <c r="H43" i="34" s="1"/>
  <c r="F272" i="34"/>
  <c r="G270" i="34"/>
  <c r="F269" i="34"/>
  <c r="F271" i="34"/>
  <c r="I217" i="34"/>
  <c r="I229" i="34" s="1"/>
  <c r="I233" i="34" s="1"/>
  <c r="I123" i="34"/>
  <c r="I135" i="34" s="1"/>
  <c r="I139" i="34" s="1"/>
  <c r="G271" i="34"/>
  <c r="H131" i="34"/>
  <c r="H178" i="34" s="1"/>
  <c r="H225" i="34" s="1"/>
  <c r="N73" i="34"/>
  <c r="F74" i="34" s="1"/>
  <c r="G79" i="34"/>
  <c r="H79" i="34"/>
  <c r="I79" i="34"/>
  <c r="I267" i="34" s="1"/>
  <c r="F79" i="34"/>
  <c r="G78" i="34"/>
  <c r="H78" i="34"/>
  <c r="I78" i="34"/>
  <c r="I266" i="34" s="1"/>
  <c r="F78" i="34"/>
  <c r="G77" i="34"/>
  <c r="H77" i="34"/>
  <c r="I77" i="34"/>
  <c r="I265" i="34" s="1"/>
  <c r="F77" i="34"/>
  <c r="I260" i="34"/>
  <c r="I28" i="34"/>
  <c r="Q213" i="34" l="1"/>
  <c r="R214" i="34" s="1"/>
  <c r="H215" i="34" s="1"/>
  <c r="H121" i="34"/>
  <c r="N28" i="34"/>
  <c r="F27" i="34" s="1"/>
  <c r="H124" i="34"/>
  <c r="H171" i="34" s="1"/>
  <c r="H218" i="34" s="1"/>
  <c r="G125" i="34"/>
  <c r="G172" i="34" s="1"/>
  <c r="G219" i="34" s="1"/>
  <c r="M164" i="34"/>
  <c r="F124" i="34"/>
  <c r="F171" i="34" s="1"/>
  <c r="F218" i="34" s="1"/>
  <c r="G124" i="34"/>
  <c r="G171" i="34" s="1"/>
  <c r="G218" i="34" s="1"/>
  <c r="M163" i="34"/>
  <c r="F125" i="34"/>
  <c r="F172" i="34" s="1"/>
  <c r="F219" i="34" s="1"/>
  <c r="H125" i="34"/>
  <c r="H172" i="34" s="1"/>
  <c r="H219" i="34" s="1"/>
  <c r="F126" i="34"/>
  <c r="F173" i="34" s="1"/>
  <c r="F220" i="34" s="1"/>
  <c r="M162" i="34"/>
  <c r="H126" i="34"/>
  <c r="H173" i="34" s="1"/>
  <c r="H220" i="34" s="1"/>
  <c r="G126" i="34"/>
  <c r="G173" i="34" s="1"/>
  <c r="G220" i="34" s="1"/>
  <c r="H272" i="34"/>
  <c r="I75" i="34"/>
  <c r="I263" i="34" s="1"/>
  <c r="I70" i="34"/>
  <c r="H65" i="34"/>
  <c r="H66" i="34"/>
  <c r="H67" i="34"/>
  <c r="H68" i="34"/>
  <c r="H69" i="34"/>
  <c r="G65" i="34"/>
  <c r="G66" i="34"/>
  <c r="G68" i="34"/>
  <c r="G69" i="34"/>
  <c r="F65" i="34"/>
  <c r="F66" i="34"/>
  <c r="F67" i="34"/>
  <c r="F68" i="34"/>
  <c r="F69" i="34"/>
  <c r="H59" i="34"/>
  <c r="H60" i="34"/>
  <c r="H61" i="34"/>
  <c r="H62" i="34"/>
  <c r="H63" i="34"/>
  <c r="G59" i="34"/>
  <c r="G60" i="34"/>
  <c r="G61" i="34"/>
  <c r="G62" i="34"/>
  <c r="G63" i="34"/>
  <c r="F59" i="34"/>
  <c r="F60" i="34"/>
  <c r="F61" i="34"/>
  <c r="F62" i="34"/>
  <c r="F63" i="34"/>
  <c r="G58" i="34"/>
  <c r="H58" i="34"/>
  <c r="H262" i="34" l="1"/>
  <c r="F265" i="34"/>
  <c r="H266" i="34"/>
  <c r="G266" i="34"/>
  <c r="G265" i="34"/>
  <c r="G267" i="34"/>
  <c r="H267" i="34"/>
  <c r="F267" i="34"/>
  <c r="G115" i="34"/>
  <c r="G162" i="34" s="1"/>
  <c r="G209" i="34" s="1"/>
  <c r="G113" i="34"/>
  <c r="G160" i="34" s="1"/>
  <c r="G207" i="34" s="1"/>
  <c r="G112" i="34"/>
  <c r="G159" i="34" s="1"/>
  <c r="G206" i="34" s="1"/>
  <c r="H73" i="34"/>
  <c r="H257" i="34"/>
  <c r="N122" i="34"/>
  <c r="F121" i="34" s="1"/>
  <c r="H115" i="34"/>
  <c r="H162" i="34" s="1"/>
  <c r="H209" i="34" s="1"/>
  <c r="M211" i="34"/>
  <c r="F73" i="34"/>
  <c r="F257" i="34"/>
  <c r="M213" i="34"/>
  <c r="F115" i="34"/>
  <c r="F162" i="34" s="1"/>
  <c r="F209" i="34" s="1"/>
  <c r="H113" i="34"/>
  <c r="H160" i="34" s="1"/>
  <c r="H207" i="34" s="1"/>
  <c r="H254" i="34" s="1"/>
  <c r="I76" i="34"/>
  <c r="H112" i="34"/>
  <c r="H159" i="34" s="1"/>
  <c r="H206" i="34" s="1"/>
  <c r="F113" i="34"/>
  <c r="F160" i="34" s="1"/>
  <c r="F207" i="34" s="1"/>
  <c r="F112" i="34"/>
  <c r="F159" i="34" s="1"/>
  <c r="F206" i="34" s="1"/>
  <c r="F253" i="34" s="1"/>
  <c r="F266" i="34"/>
  <c r="H265" i="34"/>
  <c r="M212" i="34"/>
  <c r="G73" i="34"/>
  <c r="G257" i="34"/>
  <c r="F106" i="34"/>
  <c r="F153" i="34" s="1"/>
  <c r="F200" i="34" s="1"/>
  <c r="F247" i="34" s="1"/>
  <c r="G110" i="34"/>
  <c r="G157" i="34" s="1"/>
  <c r="G204" i="34" s="1"/>
  <c r="G109" i="34"/>
  <c r="G156" i="34" s="1"/>
  <c r="G203" i="34" s="1"/>
  <c r="G108" i="34"/>
  <c r="G155" i="34" s="1"/>
  <c r="G202" i="34" s="1"/>
  <c r="G107" i="34"/>
  <c r="G154" i="34" s="1"/>
  <c r="G201" i="34" s="1"/>
  <c r="H109" i="34"/>
  <c r="H156" i="34" s="1"/>
  <c r="H203" i="34" s="1"/>
  <c r="F110" i="34"/>
  <c r="F157" i="34" s="1"/>
  <c r="F204" i="34" s="1"/>
  <c r="H108" i="34"/>
  <c r="H155" i="34" s="1"/>
  <c r="H202" i="34" s="1"/>
  <c r="G106" i="34"/>
  <c r="G153" i="34" s="1"/>
  <c r="G200" i="34" s="1"/>
  <c r="H110" i="34"/>
  <c r="H157" i="34" s="1"/>
  <c r="H204" i="34" s="1"/>
  <c r="F109" i="34"/>
  <c r="F156" i="34" s="1"/>
  <c r="F203" i="34" s="1"/>
  <c r="H107" i="34"/>
  <c r="H154" i="34" s="1"/>
  <c r="H201" i="34" s="1"/>
  <c r="F108" i="34"/>
  <c r="F155" i="34" s="1"/>
  <c r="F202" i="34" s="1"/>
  <c r="H106" i="34"/>
  <c r="H153" i="34" s="1"/>
  <c r="H200" i="34" s="1"/>
  <c r="F107" i="34"/>
  <c r="F154" i="34" s="1"/>
  <c r="F201" i="34" s="1"/>
  <c r="F248" i="34" s="1"/>
  <c r="F70" i="34"/>
  <c r="G105" i="34"/>
  <c r="G72" i="34"/>
  <c r="H105" i="34"/>
  <c r="H72" i="34"/>
  <c r="H87" i="34"/>
  <c r="H114" i="34"/>
  <c r="F114" i="34"/>
  <c r="F87" i="34"/>
  <c r="H70" i="34"/>
  <c r="F105" i="34"/>
  <c r="F72" i="34"/>
  <c r="G70" i="34"/>
  <c r="H251" i="34" l="1"/>
  <c r="G248" i="34"/>
  <c r="F254" i="34"/>
  <c r="G253" i="34"/>
  <c r="G256" i="34"/>
  <c r="G251" i="34"/>
  <c r="H248" i="34"/>
  <c r="F168" i="34"/>
  <c r="G254" i="34"/>
  <c r="F256" i="34"/>
  <c r="H256" i="34"/>
  <c r="G249" i="34"/>
  <c r="H253" i="34"/>
  <c r="H247" i="34"/>
  <c r="G247" i="34"/>
  <c r="H75" i="34"/>
  <c r="H76" i="34" s="1"/>
  <c r="I88" i="34"/>
  <c r="G75" i="34"/>
  <c r="G76" i="34" s="1"/>
  <c r="F75" i="34"/>
  <c r="F76" i="34" s="1"/>
  <c r="F88" i="34" s="1"/>
  <c r="F251" i="34"/>
  <c r="N214" i="34"/>
  <c r="F215" i="34" s="1"/>
  <c r="G250" i="34"/>
  <c r="F249" i="34"/>
  <c r="H249" i="34"/>
  <c r="F250" i="34"/>
  <c r="H250" i="34"/>
  <c r="G117" i="34"/>
  <c r="G119" i="34"/>
  <c r="G122" i="34" s="1"/>
  <c r="G152" i="34"/>
  <c r="F152" i="34"/>
  <c r="F119" i="34"/>
  <c r="F122" i="34" s="1"/>
  <c r="F117" i="34"/>
  <c r="F161" i="34"/>
  <c r="F134" i="34"/>
  <c r="H134" i="34"/>
  <c r="H161" i="34"/>
  <c r="H152" i="34"/>
  <c r="H119" i="34"/>
  <c r="H122" i="34" s="1"/>
  <c r="H117" i="34"/>
  <c r="A44" i="3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C184" i="34"/>
  <c r="I23" i="34"/>
  <c r="I258" i="34" s="1"/>
  <c r="G23" i="34"/>
  <c r="H23" i="34"/>
  <c r="F23" i="34"/>
  <c r="D58" i="34"/>
  <c r="D247" i="34"/>
  <c r="D248" i="34"/>
  <c r="D249" i="34"/>
  <c r="D250" i="34"/>
  <c r="D200" i="34"/>
  <c r="D201" i="34"/>
  <c r="D202" i="34"/>
  <c r="D203" i="34"/>
  <c r="D153" i="34"/>
  <c r="D154" i="34"/>
  <c r="D155" i="34"/>
  <c r="D156" i="34"/>
  <c r="D106" i="34"/>
  <c r="D107" i="34"/>
  <c r="D108" i="34"/>
  <c r="D109" i="34"/>
  <c r="D59" i="34"/>
  <c r="D60" i="34"/>
  <c r="D61" i="34"/>
  <c r="D62" i="34"/>
  <c r="D246" i="34"/>
  <c r="D199" i="34"/>
  <c r="D152" i="34"/>
  <c r="D105" i="34"/>
  <c r="N39" i="34"/>
  <c r="N84" i="34" s="1"/>
  <c r="N131" i="34" s="1"/>
  <c r="N38" i="34"/>
  <c r="N37" i="34"/>
  <c r="N82" i="34" s="1"/>
  <c r="N36" i="34"/>
  <c r="C278" i="34"/>
  <c r="C137" i="34"/>
  <c r="C231" i="34"/>
  <c r="C90" i="34"/>
  <c r="F26" i="34"/>
  <c r="F261" i="34" s="1"/>
  <c r="G26" i="34"/>
  <c r="G261" i="34" s="1"/>
  <c r="H26" i="34"/>
  <c r="H261" i="34" s="1"/>
  <c r="H25" i="34"/>
  <c r="F25" i="34"/>
  <c r="G25" i="34"/>
  <c r="F40" i="34"/>
  <c r="H40" i="34"/>
  <c r="N81" i="34" l="1"/>
  <c r="F43" i="34"/>
  <c r="F262" i="34"/>
  <c r="G28" i="34"/>
  <c r="G29" i="34" s="1"/>
  <c r="G41" i="34" s="1"/>
  <c r="F28" i="34"/>
  <c r="F29" i="34" s="1"/>
  <c r="F41" i="34" s="1"/>
  <c r="E43" i="34" s="1"/>
  <c r="G88" i="34"/>
  <c r="G92" i="34" s="1"/>
  <c r="H88" i="34"/>
  <c r="I92" i="34"/>
  <c r="F123" i="34"/>
  <c r="F135" i="34" s="1"/>
  <c r="H181" i="34"/>
  <c r="H208" i="34"/>
  <c r="H228" i="34" s="1"/>
  <c r="H199" i="34"/>
  <c r="H164" i="34"/>
  <c r="H166" i="34"/>
  <c r="H123" i="34"/>
  <c r="H135" i="34" s="1"/>
  <c r="F164" i="34"/>
  <c r="F199" i="34"/>
  <c r="F166" i="34"/>
  <c r="F169" i="34" s="1"/>
  <c r="G166" i="34"/>
  <c r="G169" i="34" s="1"/>
  <c r="G199" i="34"/>
  <c r="G164" i="34"/>
  <c r="G123" i="34"/>
  <c r="G135" i="34" s="1"/>
  <c r="F208" i="34"/>
  <c r="F228" i="34" s="1"/>
  <c r="F181" i="34"/>
  <c r="F275" i="34" s="1"/>
  <c r="H28" i="34"/>
  <c r="H29" i="34" s="1"/>
  <c r="H41" i="34" s="1"/>
  <c r="I29" i="34"/>
  <c r="N174" i="34"/>
  <c r="N222" i="34" s="1"/>
  <c r="N129" i="34"/>
  <c r="N83" i="34"/>
  <c r="H246" i="34" l="1"/>
  <c r="F45" i="34"/>
  <c r="N128" i="34"/>
  <c r="G246" i="34"/>
  <c r="F246" i="34"/>
  <c r="G45" i="34"/>
  <c r="I41" i="34"/>
  <c r="I264" i="34"/>
  <c r="H275" i="34"/>
  <c r="H255" i="34"/>
  <c r="F255" i="34"/>
  <c r="H169" i="34"/>
  <c r="N130" i="34"/>
  <c r="N173" i="34" s="1"/>
  <c r="N221" i="34" s="1"/>
  <c r="E90" i="34"/>
  <c r="F92" i="34" s="1"/>
  <c r="F170" i="34"/>
  <c r="F182" i="34" s="1"/>
  <c r="F211" i="34"/>
  <c r="F258" i="34" s="1"/>
  <c r="F213" i="34"/>
  <c r="H139" i="34"/>
  <c r="G170" i="34"/>
  <c r="G182" i="34" s="1"/>
  <c r="H213" i="34"/>
  <c r="H216" i="34" s="1"/>
  <c r="H211" i="34"/>
  <c r="G139" i="34"/>
  <c r="G211" i="34"/>
  <c r="G213" i="34"/>
  <c r="G216" i="34" s="1"/>
  <c r="G263" i="34" s="1"/>
  <c r="N172" i="34"/>
  <c r="N220" i="34" s="1"/>
  <c r="N171" i="34"/>
  <c r="N219" i="34" l="1"/>
  <c r="H217" i="34"/>
  <c r="H229" i="34" s="1"/>
  <c r="H233" i="34" s="1"/>
  <c r="H263" i="34"/>
  <c r="H170" i="34"/>
  <c r="H182" i="34" s="1"/>
  <c r="H258" i="34"/>
  <c r="I45" i="34"/>
  <c r="I280" i="34" s="1"/>
  <c r="I276" i="34"/>
  <c r="G217" i="34"/>
  <c r="G229" i="34" s="1"/>
  <c r="G276" i="34" s="1"/>
  <c r="G260" i="34"/>
  <c r="H92" i="34"/>
  <c r="H260" i="34"/>
  <c r="G258" i="34"/>
  <c r="F216" i="34"/>
  <c r="F263" i="34" s="1"/>
  <c r="F260" i="34"/>
  <c r="E184" i="34"/>
  <c r="E137" i="34"/>
  <c r="H45" i="34"/>
  <c r="F186" i="34" l="1"/>
  <c r="G233" i="34"/>
  <c r="H276" i="34"/>
  <c r="G264" i="34"/>
  <c r="H264" i="34"/>
  <c r="F217" i="34"/>
  <c r="G186" i="34"/>
  <c r="F139" i="34"/>
  <c r="G278" i="34" l="1"/>
  <c r="G280" i="34"/>
  <c r="F229" i="34"/>
  <c r="F264" i="34"/>
  <c r="H186" i="34"/>
  <c r="H280" i="34" s="1"/>
  <c r="H278" i="34"/>
  <c r="F276" i="34" l="1"/>
  <c r="E231" i="34"/>
  <c r="F278" i="34" s="1"/>
  <c r="F233" i="34" l="1"/>
  <c r="F28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Rebecca Trahan</author>
    <author>Office of Computing Services</author>
  </authors>
  <commentList>
    <comment ref="L17" authorId="0" shapeId="0" xr:uid="{00000000-0006-0000-0400-000001000000}">
      <text>
        <r>
          <rPr>
            <b/>
            <sz val="8"/>
            <color indexed="81"/>
            <rFont val="Tahoma"/>
            <family val="2"/>
          </rPr>
          <t>If F&amp;A is sponsor limited, select "Other" and enter sponsor limited rate in J18.</t>
        </r>
        <r>
          <rPr>
            <sz val="8"/>
            <color indexed="81"/>
            <rFont val="Tahoma"/>
            <family val="2"/>
          </rPr>
          <t xml:space="preserve">
</t>
        </r>
      </text>
    </comment>
    <comment ref="G20" authorId="1" shapeId="0" xr:uid="{00000000-0006-0000-0400-000002000000}">
      <text>
        <r>
          <rPr>
            <sz val="9"/>
            <color indexed="81"/>
            <rFont val="Tahoma"/>
            <family val="2"/>
          </rPr>
          <t>Cost Sharing graduate students requires approval from ORED.</t>
        </r>
      </text>
    </comment>
    <comment ref="F22" authorId="1" shapeId="0" xr:uid="{00000000-0006-0000-0400-000003000000}">
      <text>
        <r>
          <rPr>
            <sz val="9"/>
            <color indexed="81"/>
            <rFont val="Tahoma"/>
            <family val="2"/>
          </rPr>
          <t xml:space="preserve">Contingent Employees are appointed less than 180 consecutive days and Transients work on a recurring but intermittent basis (WAE-When Actually Employed).
</t>
        </r>
      </text>
    </comment>
    <comment ref="G27" authorId="2" shapeId="0" xr:uid="{1304A3AE-57E3-40CF-9B85-569EC0E2B0CF}">
      <text>
        <r>
          <rPr>
            <sz val="9"/>
            <color indexed="81"/>
            <rFont val="Tahoma"/>
            <family val="2"/>
          </rPr>
          <t xml:space="preserve">Cost Sharing graduate students requires approval from ORED.
</t>
        </r>
      </text>
    </comment>
    <comment ref="F34" authorId="3" shapeId="0" xr:uid="{00000000-0006-0000-0400-000004000000}">
      <text>
        <r>
          <rPr>
            <sz val="8"/>
            <color indexed="81"/>
            <rFont val="Tahoma"/>
            <family val="2"/>
          </rPr>
          <t>Insert all Subcontract funds in Column M.</t>
        </r>
      </text>
    </comment>
    <comment ref="F39" authorId="0" shapeId="0" xr:uid="{00000000-0006-0000-0400-000005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40" authorId="1" shapeId="0" xr:uid="{00000000-0006-0000-0400-000006000000}">
      <text>
        <r>
          <rPr>
            <sz val="9"/>
            <color indexed="81"/>
            <rFont val="Tahoma"/>
            <family val="2"/>
          </rPr>
          <t xml:space="preserve">Do not budget tuition remission when it is prohibited by the sponsor's published guidelines.
</t>
        </r>
      </text>
    </comment>
    <comment ref="G40" authorId="1" shapeId="0" xr:uid="{00000000-0006-0000-0400-000007000000}">
      <text>
        <r>
          <rPr>
            <sz val="9"/>
            <color indexed="81"/>
            <rFont val="Tahoma"/>
            <family val="2"/>
          </rPr>
          <t xml:space="preserve">Cost Sharing graduate students requires approval from ORED.
</t>
        </r>
      </text>
    </comment>
    <comment ref="G67" authorId="1" shapeId="0" xr:uid="{00000000-0006-0000-0400-000008000000}">
      <text>
        <r>
          <rPr>
            <sz val="9"/>
            <color indexed="81"/>
            <rFont val="Tahoma"/>
            <family val="2"/>
          </rPr>
          <t>Cost Sharing graduate students requires approval from ORED.</t>
        </r>
        <r>
          <rPr>
            <sz val="9"/>
            <color indexed="81"/>
            <rFont val="Tahoma"/>
            <family val="2"/>
          </rPr>
          <t xml:space="preserve">
</t>
        </r>
      </text>
    </comment>
    <comment ref="G74" authorId="2" shapeId="0" xr:uid="{FBEA6164-3879-45D4-BAEC-8FEF5D0873C9}">
      <text>
        <r>
          <rPr>
            <sz val="9"/>
            <color indexed="81"/>
            <rFont val="Tahoma"/>
            <family val="2"/>
          </rPr>
          <t>Cost Sharing graduate students requires approval from ORED.</t>
        </r>
      </text>
    </comment>
    <comment ref="F81" authorId="3" shapeId="0" xr:uid="{00000000-0006-0000-0400-000009000000}">
      <text>
        <r>
          <rPr>
            <b/>
            <sz val="8"/>
            <color indexed="81"/>
            <rFont val="Tahoma"/>
            <family val="2"/>
          </rPr>
          <t>Insert all Subcontract funds in Column M.</t>
        </r>
      </text>
    </comment>
    <comment ref="F86" authorId="0" shapeId="0" xr:uid="{00000000-0006-0000-0400-00000A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F87" authorId="1" shapeId="0" xr:uid="{00000000-0006-0000-0400-00000B000000}">
      <text>
        <r>
          <rPr>
            <sz val="9"/>
            <color indexed="81"/>
            <rFont val="Tahoma"/>
            <family val="2"/>
          </rPr>
          <t xml:space="preserve">Do not budget tuition remission when it is prohibited by the sponsor's published guidelines.
</t>
        </r>
      </text>
    </comment>
    <comment ref="G87" authorId="1" shapeId="0" xr:uid="{00000000-0006-0000-0400-00000C000000}">
      <text>
        <r>
          <rPr>
            <sz val="9"/>
            <color indexed="81"/>
            <rFont val="Tahoma"/>
            <family val="2"/>
          </rPr>
          <t xml:space="preserve">Cost Sharing graduate students requires approval from ORED.
</t>
        </r>
      </text>
    </comment>
    <comment ref="G114" authorId="1" shapeId="0" xr:uid="{00000000-0006-0000-0400-00000D000000}">
      <text>
        <r>
          <rPr>
            <sz val="9"/>
            <color indexed="81"/>
            <rFont val="Tahoma"/>
            <family val="2"/>
          </rPr>
          <t xml:space="preserve">Cost Sharing graduate students requires approval from ORED.
</t>
        </r>
      </text>
    </comment>
    <comment ref="G121" authorId="2" shapeId="0" xr:uid="{D1C44CE3-7C54-49CF-B7C4-CD68AB8DB4DA}">
      <text>
        <r>
          <rPr>
            <sz val="9"/>
            <color indexed="81"/>
            <rFont val="Tahoma"/>
            <family val="2"/>
          </rPr>
          <t>Cost Sharing graduate students requires approval from ORED.</t>
        </r>
      </text>
    </comment>
    <comment ref="F128" authorId="3" shapeId="0" xr:uid="{00000000-0006-0000-0400-00000E000000}">
      <text>
        <r>
          <rPr>
            <b/>
            <sz val="8"/>
            <color indexed="81"/>
            <rFont val="Tahoma"/>
            <family val="2"/>
          </rPr>
          <t>Insert all Subcontract funds in Column M.</t>
        </r>
      </text>
    </comment>
    <comment ref="F133" authorId="0" shapeId="0" xr:uid="{00000000-0006-0000-0400-00000F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34" authorId="1" shapeId="0" xr:uid="{00000000-0006-0000-0400-000010000000}">
      <text>
        <r>
          <rPr>
            <sz val="9"/>
            <color indexed="81"/>
            <rFont val="Tahoma"/>
            <family val="2"/>
          </rPr>
          <t xml:space="preserve">Do not budget tuition remission when it is prohibited by the sponsor's published guidelines.
</t>
        </r>
      </text>
    </comment>
    <comment ref="G134" authorId="1" shapeId="0" xr:uid="{00000000-0006-0000-0400-000011000000}">
      <text>
        <r>
          <rPr>
            <sz val="9"/>
            <color indexed="81"/>
            <rFont val="Tahoma"/>
            <family val="2"/>
          </rPr>
          <t xml:space="preserve">Cost Sharing graduate students requires approval from ORED.
</t>
        </r>
      </text>
    </comment>
    <comment ref="G161" authorId="1" shapeId="0" xr:uid="{00000000-0006-0000-0400-000012000000}">
      <text>
        <r>
          <rPr>
            <sz val="9"/>
            <color indexed="81"/>
            <rFont val="Tahoma"/>
            <family val="2"/>
          </rPr>
          <t xml:space="preserve">Cost Sharing graduate students requires approval from ORED.
</t>
        </r>
      </text>
    </comment>
    <comment ref="G168" authorId="2" shapeId="0" xr:uid="{781E1277-1B54-4BA3-A0B4-F7BB7150BFA1}">
      <text>
        <r>
          <rPr>
            <sz val="9"/>
            <color indexed="81"/>
            <rFont val="Tahoma"/>
            <family val="2"/>
          </rPr>
          <t>Cost Sharing graduate students requires approval from ORED.</t>
        </r>
      </text>
    </comment>
    <comment ref="F175" authorId="3" shapeId="0" xr:uid="{00000000-0006-0000-0400-000013000000}">
      <text>
        <r>
          <rPr>
            <b/>
            <sz val="8"/>
            <color indexed="81"/>
            <rFont val="Tahoma"/>
            <family val="2"/>
          </rPr>
          <t>Insert all Subcontract funds in Column M.</t>
        </r>
      </text>
    </comment>
    <comment ref="F180" authorId="0" shapeId="0" xr:uid="{00000000-0006-0000-0400-000014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81" authorId="1" shapeId="0" xr:uid="{00000000-0006-0000-0400-000015000000}">
      <text>
        <r>
          <rPr>
            <sz val="9"/>
            <color indexed="81"/>
            <rFont val="Tahoma"/>
            <family val="2"/>
          </rPr>
          <t xml:space="preserve">Do not budget tuition remission when it is prohibited by the sponsor's published guidelines.
</t>
        </r>
      </text>
    </comment>
    <comment ref="G181" authorId="1" shapeId="0" xr:uid="{00000000-0006-0000-0400-000016000000}">
      <text>
        <r>
          <rPr>
            <sz val="9"/>
            <color indexed="81"/>
            <rFont val="Tahoma"/>
            <family val="2"/>
          </rPr>
          <t xml:space="preserve">Cost Sharing graduate students requires approval from ORED.
</t>
        </r>
      </text>
    </comment>
    <comment ref="G208" authorId="1" shapeId="0" xr:uid="{00000000-0006-0000-0400-000017000000}">
      <text>
        <r>
          <rPr>
            <sz val="9"/>
            <color indexed="81"/>
            <rFont val="Tahoma"/>
            <family val="2"/>
          </rPr>
          <t xml:space="preserve">Cost Sharing graduate students requires approval from ORED.
</t>
        </r>
      </text>
    </comment>
    <comment ref="G215" authorId="2" shapeId="0" xr:uid="{CE304068-3664-4F27-8616-CB304E432908}">
      <text>
        <r>
          <rPr>
            <sz val="9"/>
            <color indexed="81"/>
            <rFont val="Tahoma"/>
            <family val="2"/>
          </rPr>
          <t>Cost Sharing graduate students requires approval from ORED.</t>
        </r>
      </text>
    </comment>
    <comment ref="F222" authorId="3" shapeId="0" xr:uid="{00000000-0006-0000-0400-000018000000}">
      <text>
        <r>
          <rPr>
            <b/>
            <sz val="8"/>
            <color indexed="81"/>
            <rFont val="Tahoma"/>
            <family val="2"/>
          </rPr>
          <t>Insert all Subcontract funds in Column M.</t>
        </r>
      </text>
    </comment>
    <comment ref="F227" authorId="0" shapeId="0" xr:uid="{00000000-0006-0000-0400-000019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F228" authorId="1" shapeId="0" xr:uid="{00000000-0006-0000-0400-00001A000000}">
      <text>
        <r>
          <rPr>
            <sz val="9"/>
            <color indexed="81"/>
            <rFont val="Tahoma"/>
            <family val="2"/>
          </rPr>
          <t xml:space="preserve">Do not budget tuition remission when it is prohibited by the sponsor's published guidelines.
</t>
        </r>
      </text>
    </comment>
    <comment ref="G228" authorId="1" shapeId="0" xr:uid="{00000000-0006-0000-0400-00001B000000}">
      <text>
        <r>
          <rPr>
            <sz val="9"/>
            <color indexed="81"/>
            <rFont val="Tahoma"/>
            <family val="2"/>
          </rPr>
          <t xml:space="preserve">Cost Sharing graduate students requires approval from ORED.
</t>
        </r>
      </text>
    </comment>
  </commentList>
</comments>
</file>

<file path=xl/sharedStrings.xml><?xml version="1.0" encoding="utf-8"?>
<sst xmlns="http://schemas.openxmlformats.org/spreadsheetml/2006/main" count="542" uniqueCount="118">
  <si>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</si>
  <si>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</si>
  <si>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</si>
  <si>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</si>
  <si>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</si>
  <si>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</si>
  <si>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</si>
  <si>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</si>
  <si>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</si>
  <si>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</si>
  <si>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</si>
  <si>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</si>
  <si>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</si>
  <si>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</si>
  <si>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</si>
  <si>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</si>
  <si>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</si>
  <si>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</si>
  <si>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</si>
  <si>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</si>
  <si>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</si>
  <si>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</si>
  <si>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</si>
  <si>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</si>
  <si>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</si>
  <si>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</si>
  <si>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</si>
  <si>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</si>
  <si>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</si>
  <si>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</si>
  <si>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</si>
  <si>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</si>
  <si>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</si>
  <si>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</si>
  <si>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</si>
  <si>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</si>
  <si>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</si>
  <si>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</si>
  <si>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</si>
  <si>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</si>
  <si>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</si>
  <si>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</si>
  <si>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</si>
  <si>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</si>
  <si>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</si>
  <si>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</si>
  <si>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</si>
  <si>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</si>
  <si>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</si>
  <si>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</si>
  <si>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</si>
  <si>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</si>
  <si>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</si>
  <si>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</si>
  <si>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</si>
  <si>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</si>
  <si>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</si>
  <si>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</si>
  <si>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</si>
  <si>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</si>
  <si>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</si>
  <si>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</si>
  <si>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</si>
  <si>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</si>
  <si>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</si>
  <si>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</si>
  <si>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</si>
  <si>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</si>
  <si>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</si>
  <si>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</si>
  <si>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</si>
  <si>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</si>
  <si>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</si>
  <si>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</si>
  <si>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</si>
  <si>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</si>
  <si>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</si>
  <si>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</si>
  <si>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</si>
  <si>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</si>
  <si>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</si>
  <si>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</si>
  <si>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</si>
  <si>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</si>
  <si>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</si>
  <si>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</si>
  <si>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</si>
  <si>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 xml:space="preserve">Tuition Remission* </t>
  </si>
  <si>
    <t>LSU Cost Share</t>
  </si>
  <si>
    <t>External Cost Share</t>
  </si>
  <si>
    <t>Unrecovered F&amp;A</t>
  </si>
  <si>
    <t>Yes</t>
  </si>
  <si>
    <t>No</t>
  </si>
  <si>
    <t>External Cash     Cost Share</t>
  </si>
  <si>
    <t>External In-Kind Cost Share</t>
  </si>
  <si>
    <t xml:space="preserve">Cost Sharing F&amp;A
</t>
  </si>
  <si>
    <t xml:space="preserve">Tuition Remission                          @ </t>
  </si>
  <si>
    <t>Participant Support Costs</t>
  </si>
  <si>
    <t>Q.</t>
  </si>
  <si>
    <t xml:space="preserve">**Base = MTDC = Total Direct Costs - Equipment - Each Subcontract in excess of $25,000 (only the first $25,000 of each </t>
  </si>
  <si>
    <t>subcontract is included) - Tuition Remission - Participant Support Costs</t>
  </si>
  <si>
    <t>Partcipant Support Costs</t>
  </si>
  <si>
    <t>Enter Projected Start Date (Month/Year)</t>
  </si>
  <si>
    <t>No. Project Years</t>
  </si>
  <si>
    <t>Type of Graduate Assistant</t>
  </si>
  <si>
    <t>Calendar</t>
  </si>
  <si>
    <t xml:space="preserve">Academic </t>
  </si>
  <si>
    <t>Summer</t>
  </si>
  <si>
    <t>Yearly Effort in Months (combined for all GAs)</t>
  </si>
  <si>
    <t>Requested</t>
  </si>
  <si>
    <t>External Cash  CS</t>
  </si>
  <si>
    <t>Research On-Campus</t>
  </si>
  <si>
    <t>Public Service On-Campus</t>
  </si>
  <si>
    <t>Instruction On-Campus</t>
  </si>
  <si>
    <t>Off-Campus</t>
  </si>
  <si>
    <t>Other</t>
  </si>
  <si>
    <t>Subcontract</t>
  </si>
  <si>
    <t>CUMULATIVE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</si>
</sst>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9">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4"/>
      <color rgb="FFFF0000"/>
      <name val="Geneva"/>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47"/>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16">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2" xfId="0" quotePrefix="1" applyFont="1" applyBorder="1" applyAlignment="1">
      <alignment horizontal="center"/>
    </xf>
    <xf numFmtId="0" fontId="5" fillId="0" borderId="5"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9" xfId="0" applyFont="1" applyBorder="1"/>
    <xf numFmtId="0" fontId="6" fillId="0" borderId="10" xfId="0" applyFont="1" applyBorder="1"/>
    <xf numFmtId="0" fontId="5" fillId="0" borderId="10" xfId="0" applyFont="1" applyBorder="1"/>
    <xf numFmtId="0" fontId="5" fillId="0" borderId="11" xfId="0" applyFont="1" applyBorder="1"/>
    <xf numFmtId="0" fontId="5" fillId="0" borderId="0" xfId="0" applyFont="1" applyAlignment="1">
      <alignment horizontal="left"/>
    </xf>
    <xf numFmtId="165" fontId="5" fillId="0" borderId="12" xfId="0" applyNumberFormat="1" applyFont="1" applyBorder="1" applyAlignment="1">
      <alignment horizontal="center"/>
    </xf>
    <xf numFmtId="0" fontId="5" fillId="0" borderId="4" xfId="0" applyFont="1" applyBorder="1" applyAlignment="1">
      <alignment horizontal="right"/>
    </xf>
    <xf numFmtId="164" fontId="8" fillId="0" borderId="0" xfId="0" applyNumberFormat="1" applyFont="1" applyAlignment="1" applyProtection="1">
      <alignment horizontal="left"/>
      <protection locked="0"/>
    </xf>
    <xf numFmtId="5" fontId="8" fillId="0" borderId="13" xfId="0" applyNumberFormat="1" applyFont="1" applyBorder="1" applyAlignment="1">
      <alignment horizontal="left"/>
    </xf>
    <xf numFmtId="0" fontId="0" fillId="0" borderId="0" xfId="0" applyAlignment="1">
      <alignment horizontal="centerContinuous"/>
    </xf>
    <xf numFmtId="0" fontId="0" fillId="0" borderId="0" xfId="0" applyAlignment="1">
      <alignment horizontal="left"/>
    </xf>
    <xf numFmtId="0" fontId="5" fillId="2" borderId="12" xfId="0" applyFont="1" applyFill="1" applyBorder="1"/>
    <xf numFmtId="165" fontId="5" fillId="3" borderId="12" xfId="0" applyNumberFormat="1" applyFont="1" applyFill="1" applyBorder="1" applyAlignment="1">
      <alignment horizontal="center"/>
    </xf>
    <xf numFmtId="0" fontId="5" fillId="0" borderId="14" xfId="0" applyFont="1" applyBorder="1" applyAlignment="1">
      <alignment horizontal="center"/>
    </xf>
    <xf numFmtId="0" fontId="5" fillId="0" borderId="4" xfId="0" quotePrefix="1" applyFont="1" applyBorder="1" applyAlignment="1">
      <alignment horizontal="center"/>
    </xf>
    <xf numFmtId="165" fontId="6" fillId="0" borderId="15" xfId="0" applyNumberFormat="1" applyFont="1" applyBorder="1" applyAlignment="1">
      <alignment horizontal="center"/>
    </xf>
    <xf numFmtId="0" fontId="0" fillId="0" borderId="16" xfId="0" applyBorder="1"/>
    <xf numFmtId="0" fontId="0" fillId="0" borderId="17" xfId="0" applyBorder="1"/>
    <xf numFmtId="0" fontId="0" fillId="0" borderId="18" xfId="0" applyBorder="1"/>
    <xf numFmtId="165" fontId="0" fillId="0" borderId="19" xfId="0" applyNumberFormat="1" applyBorder="1"/>
    <xf numFmtId="165" fontId="0" fillId="0" borderId="7" xfId="0" applyNumberFormat="1" applyBorder="1"/>
    <xf numFmtId="165" fontId="0" fillId="0" borderId="9" xfId="0" applyNumberFormat="1" applyBorder="1"/>
    <xf numFmtId="0" fontId="0" fillId="0" borderId="20"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21"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9" fontId="2" fillId="0" borderId="21" xfId="1" applyFont="1" applyFill="1" applyBorder="1"/>
    <xf numFmtId="168" fontId="0" fillId="5" borderId="21" xfId="0" applyNumberFormat="1" applyFill="1" applyBorder="1"/>
    <xf numFmtId="168" fontId="0" fillId="0" borderId="0" xfId="0" applyNumberFormat="1"/>
    <xf numFmtId="0" fontId="5" fillId="2" borderId="22" xfId="0" applyFont="1" applyFill="1" applyBorder="1"/>
    <xf numFmtId="164" fontId="8" fillId="0" borderId="5" xfId="0" applyNumberFormat="1" applyFont="1" applyBorder="1" applyAlignment="1" applyProtection="1">
      <alignment horizontal="left"/>
      <protection locked="0"/>
    </xf>
    <xf numFmtId="0" fontId="5" fillId="0" borderId="23" xfId="0" applyFont="1" applyBorder="1" applyAlignment="1">
      <alignment horizontal="center"/>
    </xf>
    <xf numFmtId="0" fontId="5" fillId="0" borderId="24"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5" xfId="0" applyFont="1" applyBorder="1" applyAlignment="1">
      <alignment horizontal="center"/>
    </xf>
    <xf numFmtId="0" fontId="5" fillId="0" borderId="26" xfId="0" applyFont="1" applyBorder="1"/>
    <xf numFmtId="0" fontId="6" fillId="0" borderId="0" xfId="0" applyFont="1" applyAlignment="1" applyProtection="1">
      <alignment horizontal="center" vertical="center"/>
      <protection locked="0"/>
    </xf>
    <xf numFmtId="10" fontId="8" fillId="0" borderId="5" xfId="0" applyNumberFormat="1" applyFont="1" applyBorder="1" applyAlignment="1" applyProtection="1">
      <alignment horizontal="left"/>
      <protection locked="0"/>
    </xf>
    <xf numFmtId="6" fontId="5" fillId="0" borderId="5" xfId="0" applyNumberFormat="1" applyFont="1" applyBorder="1"/>
    <xf numFmtId="0" fontId="9" fillId="0" borderId="0" xfId="0" applyFont="1" applyAlignment="1">
      <alignment horizontal="right"/>
    </xf>
    <xf numFmtId="9" fontId="8" fillId="0" borderId="5" xfId="0" applyNumberFormat="1" applyFont="1" applyBorder="1" applyAlignment="1" applyProtection="1">
      <alignment horizontal="left"/>
      <protection locked="0"/>
    </xf>
    <xf numFmtId="0" fontId="5" fillId="0" borderId="0" xfId="0" quotePrefix="1" applyFont="1" applyAlignment="1">
      <alignment horizontal="center"/>
    </xf>
    <xf numFmtId="2" fontId="5" fillId="0" borderId="2" xfId="0" applyNumberFormat="1" applyFont="1" applyBorder="1"/>
    <xf numFmtId="0" fontId="5" fillId="2" borderId="20" xfId="0" applyFont="1" applyFill="1" applyBorder="1"/>
    <xf numFmtId="165" fontId="5" fillId="0" borderId="20" xfId="0" applyNumberFormat="1" applyFont="1" applyBorder="1" applyAlignment="1">
      <alignment horizontal="center"/>
    </xf>
    <xf numFmtId="165" fontId="5" fillId="3" borderId="20" xfId="0" applyNumberFormat="1" applyFont="1" applyFill="1" applyBorder="1" applyAlignment="1">
      <alignment horizontal="center"/>
    </xf>
    <xf numFmtId="164" fontId="8" fillId="0" borderId="2" xfId="0" applyNumberFormat="1" applyFont="1" applyBorder="1" applyAlignment="1" applyProtection="1">
      <alignment horizontal="left"/>
      <protection locked="0"/>
    </xf>
    <xf numFmtId="0" fontId="9" fillId="0" borderId="2" xfId="0" applyFont="1" applyBorder="1" applyAlignment="1">
      <alignment horizontal="right"/>
    </xf>
    <xf numFmtId="5" fontId="8" fillId="0" borderId="5" xfId="0" applyNumberFormat="1" applyFont="1" applyBorder="1" applyAlignment="1">
      <alignment horizontal="left"/>
    </xf>
    <xf numFmtId="0" fontId="5" fillId="2" borderId="27" xfId="0" applyFont="1" applyFill="1" applyBorder="1"/>
    <xf numFmtId="0" fontId="6" fillId="0" borderId="4" xfId="0" quotePrefix="1" applyFont="1" applyBorder="1" applyAlignment="1">
      <alignment horizontal="center"/>
    </xf>
    <xf numFmtId="165" fontId="6" fillId="0" borderId="28" xfId="0" applyNumberFormat="1" applyFont="1" applyBorder="1" applyAlignment="1">
      <alignment horizontal="center"/>
    </xf>
    <xf numFmtId="0" fontId="5" fillId="0" borderId="0" xfId="0" applyFont="1" applyAlignment="1">
      <alignment horizontal="left" wrapText="1"/>
    </xf>
    <xf numFmtId="165" fontId="5" fillId="3" borderId="27" xfId="0" applyNumberFormat="1" applyFont="1" applyFill="1" applyBorder="1" applyAlignment="1">
      <alignment horizontal="center"/>
    </xf>
    <xf numFmtId="0" fontId="6" fillId="0" borderId="25" xfId="0" applyFont="1" applyBorder="1" applyAlignment="1">
      <alignment horizontal="center" wrapText="1"/>
    </xf>
    <xf numFmtId="0" fontId="5" fillId="0" borderId="1" xfId="0" applyFont="1" applyBorder="1" applyAlignment="1">
      <alignment horizontal="left"/>
    </xf>
    <xf numFmtId="0" fontId="14" fillId="0" borderId="0" xfId="0" applyFont="1" applyAlignment="1">
      <alignment horizontal="center"/>
    </xf>
    <xf numFmtId="165" fontId="5" fillId="3" borderId="29" xfId="0" applyNumberFormat="1" applyFont="1" applyFill="1" applyBorder="1" applyAlignment="1">
      <alignment horizontal="center"/>
    </xf>
    <xf numFmtId="165" fontId="5" fillId="3" borderId="30" xfId="0" applyNumberFormat="1" applyFont="1" applyFill="1" applyBorder="1" applyAlignment="1">
      <alignment horizontal="center"/>
    </xf>
    <xf numFmtId="0" fontId="5" fillId="2" borderId="30" xfId="0" applyFont="1" applyFill="1" applyBorder="1"/>
    <xf numFmtId="0" fontId="5" fillId="2" borderId="31" xfId="0" applyFont="1" applyFill="1" applyBorder="1"/>
    <xf numFmtId="165" fontId="5" fillId="0" borderId="5" xfId="0" applyNumberFormat="1" applyFont="1" applyBorder="1" applyAlignment="1">
      <alignment horizontal="center"/>
    </xf>
    <xf numFmtId="0" fontId="5" fillId="2" borderId="5" xfId="0" applyFont="1" applyFill="1" applyBorder="1"/>
    <xf numFmtId="165" fontId="5" fillId="3" borderId="5" xfId="0" applyNumberFormat="1" applyFont="1" applyFill="1" applyBorder="1" applyAlignment="1">
      <alignment horizontal="center"/>
    </xf>
    <xf numFmtId="165" fontId="6" fillId="0" borderId="11" xfId="0" applyNumberFormat="1" applyFont="1" applyBorder="1" applyAlignment="1">
      <alignment horizontal="center"/>
    </xf>
    <xf numFmtId="0" fontId="5" fillId="0" borderId="31" xfId="0" applyFont="1" applyBorder="1"/>
    <xf numFmtId="0" fontId="5" fillId="0" borderId="32" xfId="0" applyFont="1" applyBorder="1" applyAlignment="1">
      <alignment horizontal="center"/>
    </xf>
    <xf numFmtId="0" fontId="6" fillId="0" borderId="33" xfId="0" applyFont="1" applyBorder="1"/>
    <xf numFmtId="0" fontId="5" fillId="0" borderId="33" xfId="0" applyFont="1" applyBorder="1"/>
    <xf numFmtId="9" fontId="8" fillId="0" borderId="5" xfId="1" applyFont="1" applyBorder="1" applyAlignment="1">
      <alignment horizontal="left"/>
    </xf>
    <xf numFmtId="2" fontId="1" fillId="0" borderId="0" xfId="0" applyNumberFormat="1" applyFont="1" applyAlignment="1">
      <alignment horizontal="center"/>
    </xf>
    <xf numFmtId="0" fontId="6" fillId="0" borderId="0" xfId="0" applyFont="1" applyAlignment="1">
      <alignment horizontal="center"/>
    </xf>
    <xf numFmtId="165" fontId="6" fillId="0" borderId="0" xfId="0" applyNumberFormat="1" applyFont="1" applyAlignment="1">
      <alignment horizontal="center"/>
    </xf>
    <xf numFmtId="0" fontId="16" fillId="0" borderId="0" xfId="0" applyFont="1" applyAlignment="1">
      <alignment wrapText="1"/>
    </xf>
    <xf numFmtId="0" fontId="17" fillId="0" borderId="0" xfId="0" applyFont="1" applyAlignment="1">
      <alignment horizontal="center" wrapText="1"/>
    </xf>
    <xf numFmtId="0" fontId="18" fillId="0" borderId="0" xfId="0" applyFont="1"/>
    <xf numFmtId="0" fontId="15" fillId="5" borderId="20" xfId="0" applyFont="1" applyFill="1" applyBorder="1"/>
    <xf numFmtId="0" fontId="18" fillId="5" borderId="20" xfId="0" applyFont="1" applyFill="1" applyBorder="1"/>
    <xf numFmtId="165" fontId="18" fillId="6" borderId="20" xfId="0" applyNumberFormat="1" applyFont="1" applyFill="1" applyBorder="1" applyAlignment="1">
      <alignment horizontal="center" vertical="center"/>
    </xf>
    <xf numFmtId="0" fontId="15" fillId="5" borderId="34" xfId="0" applyFont="1" applyFill="1" applyBorder="1"/>
    <xf numFmtId="0" fontId="15" fillId="5" borderId="35" xfId="0" applyFont="1" applyFill="1" applyBorder="1"/>
    <xf numFmtId="165" fontId="5" fillId="6" borderId="20" xfId="0" applyNumberFormat="1" applyFont="1" applyFill="1" applyBorder="1" applyAlignment="1">
      <alignment horizontal="center"/>
    </xf>
    <xf numFmtId="165" fontId="5" fillId="6" borderId="5" xfId="0" applyNumberFormat="1" applyFont="1" applyFill="1" applyBorder="1" applyAlignment="1">
      <alignment horizontal="center"/>
    </xf>
    <xf numFmtId="0" fontId="1" fillId="5" borderId="21" xfId="0" applyFont="1" applyFill="1" applyBorder="1"/>
    <xf numFmtId="165" fontId="5" fillId="0" borderId="36" xfId="0" applyNumberFormat="1" applyFont="1" applyBorder="1" applyAlignment="1">
      <alignment horizontal="center"/>
    </xf>
    <xf numFmtId="0" fontId="6" fillId="0" borderId="0" xfId="0" applyFont="1" applyAlignment="1">
      <alignment horizontal="center"/>
    </xf>
    <xf numFmtId="0" fontId="5" fillId="0" borderId="1" xfId="0" applyFont="1" applyBorder="1" applyAlignment="1">
      <alignment horizontal="left" wrapText="1"/>
    </xf>
    <xf numFmtId="0" fontId="14" fillId="0" borderId="0" xfId="0" applyFont="1" applyAlignment="1">
      <alignment horizontal="center"/>
    </xf>
    <xf numFmtId="0" fontId="6" fillId="0" borderId="0" xfId="0" applyFont="1" applyAlignment="1" applyProtection="1">
      <alignment horizontal="center" vertical="center"/>
      <protection locked="0"/>
    </xf>
    <xf numFmtId="0" fontId="6" fillId="0" borderId="0" xfId="0" applyFont="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81"/>
  <sheetViews>
    <sheetView tabSelected="1" topLeftCell="D5" zoomScaleNormal="100" workbookViewId="0">
      <selection activeCell="M25" sqref="M25"/>
    </sheetView>
  </sheetViews>
  <sheetFormatPr defaultRowHeight="13.2"/>
  <cols>
    <col min="1" max="1" width="2.109375" customWidth="1"/>
    <col min="2" max="2" width="3.88671875" customWidth="1"/>
    <col min="3" max="3" width="9" customWidth="1"/>
    <col min="4" max="4" width="24.109375" customWidth="1"/>
    <col min="5" max="5" width="11.88671875" customWidth="1"/>
    <col min="6" max="7" width="18.109375" customWidth="1"/>
    <col min="8" max="9" width="20" customWidth="1"/>
    <col min="10" max="10" width="4.5546875" customWidth="1"/>
    <col min="11" max="11" width="5.33203125" customWidth="1"/>
    <col min="12" max="12" width="20.5546875" customWidth="1"/>
    <col min="13" max="13" width="16.21875" customWidth="1"/>
    <col min="14" max="14" width="11.109375" customWidth="1"/>
    <col min="16" max="16" width="8.88671875" customWidth="1"/>
    <col min="17" max="17" width="17.88671875" customWidth="1"/>
  </cols>
  <sheetData>
    <row r="1" spans="1:12" ht="17.399999999999999">
      <c r="A1" s="113"/>
      <c r="B1" s="113"/>
      <c r="C1" s="113"/>
      <c r="D1" s="113"/>
      <c r="E1" s="113"/>
      <c r="F1" s="113"/>
      <c r="G1" s="113"/>
      <c r="H1" s="113"/>
      <c r="I1" s="113"/>
      <c r="J1" s="113"/>
      <c r="K1" s="82"/>
      <c r="L1" s="105" t="s">
        <v>103</v>
      </c>
    </row>
    <row r="2" spans="1:12" ht="16.2" thickBot="1">
      <c r="A2" s="1" t="s">
        <v>16</v>
      </c>
      <c r="B2" s="25"/>
      <c r="C2" s="25"/>
      <c r="D2" s="25"/>
      <c r="E2" s="25"/>
      <c r="F2" s="25"/>
      <c r="G2" s="25"/>
      <c r="H2" s="25"/>
      <c r="I2" s="25"/>
      <c r="J2" s="25"/>
      <c r="K2" s="25"/>
      <c r="L2" s="106">
        <v>1</v>
      </c>
    </row>
    <row r="3" spans="1:12" ht="15.6">
      <c r="A3" s="3" t="s">
        <v>20</v>
      </c>
      <c r="B3" s="25"/>
      <c r="C3" s="25"/>
      <c r="D3" s="25"/>
      <c r="E3" s="25"/>
      <c r="F3" s="25"/>
      <c r="G3" s="25"/>
      <c r="H3" s="25"/>
      <c r="I3" s="25"/>
      <c r="J3" s="25"/>
      <c r="K3" s="25"/>
      <c r="L3" s="26"/>
    </row>
    <row r="4" spans="1:12" ht="15.6">
      <c r="A4" s="3" t="s">
        <v>17</v>
      </c>
      <c r="B4" s="25"/>
      <c r="C4" s="25"/>
      <c r="D4" s="25"/>
      <c r="E4" s="25"/>
      <c r="F4" s="25"/>
      <c r="G4" s="25"/>
      <c r="H4" s="25"/>
      <c r="I4" s="25"/>
      <c r="J4" s="25"/>
      <c r="K4" s="25"/>
      <c r="L4" s="26"/>
    </row>
    <row r="5" spans="1:12" ht="36.75" customHeight="1">
      <c r="C5" s="4" t="s">
        <v>22</v>
      </c>
      <c r="E5" s="112" t="s">
        <v>71</v>
      </c>
      <c r="F5" s="112"/>
      <c r="G5" s="112"/>
      <c r="H5" s="112"/>
      <c r="I5" s="112"/>
      <c r="J5" s="112"/>
      <c r="K5" s="78"/>
    </row>
    <row r="6" spans="1:12" ht="15.6">
      <c r="C6" s="44" t="s">
        <v>21</v>
      </c>
      <c r="E6" s="81" t="s">
        <v>72</v>
      </c>
      <c r="F6" s="81"/>
      <c r="G6" s="81"/>
      <c r="H6" s="81"/>
      <c r="I6" s="81"/>
      <c r="J6" s="81"/>
      <c r="K6" s="20"/>
    </row>
    <row r="8" spans="1:12" ht="13.8" thickBot="1">
      <c r="L8" s="42"/>
    </row>
    <row r="9" spans="1:12" ht="31.8" thickBot="1">
      <c r="B9" s="2"/>
      <c r="C9" s="2"/>
      <c r="D9" s="2"/>
      <c r="E9" s="2"/>
      <c r="F9" s="60" t="s">
        <v>23</v>
      </c>
      <c r="G9" s="60" t="s">
        <v>88</v>
      </c>
      <c r="H9" s="80" t="s">
        <v>93</v>
      </c>
      <c r="I9" s="80" t="s">
        <v>94</v>
      </c>
      <c r="L9" s="42" t="s">
        <v>64</v>
      </c>
    </row>
    <row r="10" spans="1:12" ht="16.2" thickBot="1">
      <c r="B10" s="54" t="s">
        <v>0</v>
      </c>
      <c r="C10" s="61" t="s">
        <v>73</v>
      </c>
      <c r="D10" s="55"/>
      <c r="E10" s="55"/>
      <c r="F10" s="75"/>
      <c r="G10" s="75"/>
      <c r="H10" s="75"/>
      <c r="I10" s="52"/>
      <c r="L10" s="43"/>
    </row>
    <row r="11" spans="1:12" ht="15.6">
      <c r="B11" s="8"/>
      <c r="C11" s="9" t="s">
        <v>1</v>
      </c>
      <c r="D11" s="6"/>
      <c r="E11" s="10"/>
      <c r="F11" s="70">
        <v>0</v>
      </c>
      <c r="G11" s="70">
        <v>0</v>
      </c>
      <c r="H11" s="70">
        <v>0</v>
      </c>
      <c r="I11" s="27"/>
      <c r="L11" s="42" t="s">
        <v>65</v>
      </c>
    </row>
    <row r="12" spans="1:12" ht="16.2" thickBot="1">
      <c r="B12" s="8"/>
      <c r="C12" s="9" t="s">
        <v>2</v>
      </c>
      <c r="D12" s="6"/>
      <c r="E12" s="10"/>
      <c r="F12" s="70">
        <v>0</v>
      </c>
      <c r="G12" s="70">
        <v>0</v>
      </c>
      <c r="H12" s="70">
        <v>0</v>
      </c>
      <c r="I12" s="27"/>
      <c r="L12" s="42" t="s">
        <v>66</v>
      </c>
    </row>
    <row r="13" spans="1:12" ht="16.2" thickBot="1">
      <c r="B13" s="8"/>
      <c r="C13" s="9" t="s">
        <v>3</v>
      </c>
      <c r="D13" s="6"/>
      <c r="E13" s="10"/>
      <c r="F13" s="70">
        <v>0</v>
      </c>
      <c r="G13" s="70">
        <v>0</v>
      </c>
      <c r="H13" s="70">
        <v>0</v>
      </c>
      <c r="I13" s="27"/>
      <c r="L13" s="43"/>
    </row>
    <row r="14" spans="1:12" ht="16.2" thickBot="1">
      <c r="B14" s="8"/>
      <c r="C14" s="9" t="s">
        <v>4</v>
      </c>
      <c r="D14" s="6"/>
      <c r="E14" s="10"/>
      <c r="F14" s="70">
        <v>0</v>
      </c>
      <c r="G14" s="70">
        <v>0</v>
      </c>
      <c r="H14" s="70">
        <v>0</v>
      </c>
      <c r="I14" s="27"/>
      <c r="L14" s="42" t="s">
        <v>102</v>
      </c>
    </row>
    <row r="15" spans="1:12" ht="16.2" thickBot="1">
      <c r="B15" s="8"/>
      <c r="C15" s="9" t="s">
        <v>24</v>
      </c>
      <c r="D15" s="6"/>
      <c r="E15" s="10"/>
      <c r="F15" s="70">
        <v>0</v>
      </c>
      <c r="G15" s="70">
        <v>0</v>
      </c>
      <c r="H15" s="70">
        <v>0</v>
      </c>
      <c r="I15" s="27"/>
      <c r="L15" s="50"/>
    </row>
    <row r="16" spans="1:12" ht="16.2" thickBot="1">
      <c r="B16" s="8"/>
      <c r="C16" s="9" t="s">
        <v>25</v>
      </c>
      <c r="D16" s="6" t="s">
        <v>48</v>
      </c>
      <c r="E16" s="10"/>
      <c r="F16" s="70">
        <v>0</v>
      </c>
      <c r="G16" s="70">
        <v>0</v>
      </c>
      <c r="H16" s="70">
        <v>0</v>
      </c>
      <c r="I16" s="27"/>
      <c r="L16" s="42" t="s">
        <v>67</v>
      </c>
    </row>
    <row r="17" spans="2:18" ht="16.2" thickBot="1">
      <c r="B17" s="8" t="s">
        <v>33</v>
      </c>
      <c r="C17" s="58" t="s">
        <v>74</v>
      </c>
      <c r="D17" s="6"/>
      <c r="E17" s="10"/>
      <c r="F17" s="69"/>
      <c r="G17" s="69"/>
      <c r="H17" s="69"/>
      <c r="I17" s="27"/>
      <c r="L17" s="109" t="s">
        <v>111</v>
      </c>
    </row>
    <row r="18" spans="2:18" ht="16.2" thickBot="1">
      <c r="B18" s="8"/>
      <c r="C18" s="9" t="s">
        <v>1</v>
      </c>
      <c r="D18" s="6" t="s">
        <v>30</v>
      </c>
      <c r="E18" s="10"/>
      <c r="F18" s="70">
        <v>0</v>
      </c>
      <c r="G18" s="70">
        <v>0</v>
      </c>
      <c r="H18" s="70">
        <v>0</v>
      </c>
      <c r="I18" s="27"/>
      <c r="L18" s="49"/>
      <c r="M18" s="42" t="s">
        <v>82</v>
      </c>
    </row>
    <row r="19" spans="2:18" ht="15.6">
      <c r="B19" s="8"/>
      <c r="C19" s="9" t="s">
        <v>2</v>
      </c>
      <c r="D19" s="6" t="s">
        <v>31</v>
      </c>
      <c r="E19" s="10"/>
      <c r="F19" s="70">
        <v>0</v>
      </c>
      <c r="G19" s="70">
        <v>0</v>
      </c>
      <c r="H19" s="70">
        <v>0</v>
      </c>
      <c r="I19" s="21">
        <v>0</v>
      </c>
      <c r="L19" s="42"/>
    </row>
    <row r="20" spans="2:18" ht="15.6">
      <c r="B20" s="8"/>
      <c r="C20" s="9" t="s">
        <v>3</v>
      </c>
      <c r="D20" s="6" t="s">
        <v>26</v>
      </c>
      <c r="E20" s="10"/>
      <c r="F20" s="70"/>
      <c r="G20" s="69"/>
      <c r="H20" s="70"/>
      <c r="I20" s="27"/>
      <c r="L20" s="96"/>
    </row>
    <row r="21" spans="2:18" ht="15.6">
      <c r="B21" s="8"/>
      <c r="C21" s="59" t="s">
        <v>4</v>
      </c>
      <c r="D21" s="5" t="s">
        <v>27</v>
      </c>
      <c r="E21" s="5"/>
      <c r="F21" s="70">
        <v>0</v>
      </c>
      <c r="G21" s="70">
        <v>0</v>
      </c>
      <c r="H21" s="70">
        <v>0</v>
      </c>
      <c r="I21" s="27"/>
      <c r="L21" s="42"/>
    </row>
    <row r="22" spans="2:18" ht="15.6">
      <c r="B22" s="8"/>
      <c r="C22" s="59" t="s">
        <v>24</v>
      </c>
      <c r="D22" s="5" t="s">
        <v>81</v>
      </c>
      <c r="E22" s="5"/>
      <c r="F22" s="70">
        <v>0</v>
      </c>
      <c r="G22" s="70">
        <v>0</v>
      </c>
      <c r="H22" s="70">
        <v>0</v>
      </c>
      <c r="I22" s="27"/>
      <c r="L22" s="42"/>
    </row>
    <row r="23" spans="2:18" ht="20.399999999999999" customHeight="1">
      <c r="B23" s="8" t="s">
        <v>5</v>
      </c>
      <c r="C23" s="6" t="s">
        <v>37</v>
      </c>
      <c r="D23" s="6"/>
      <c r="E23" s="5"/>
      <c r="F23" s="70">
        <f>SUM(F11:F22)</f>
        <v>0</v>
      </c>
      <c r="G23" s="70">
        <f>SUM(G11:G22)</f>
        <v>0</v>
      </c>
      <c r="H23" s="70">
        <f>SUM(H11:H22)</f>
        <v>0</v>
      </c>
      <c r="I23" s="21">
        <f>SUM(I11:I22)</f>
        <v>0</v>
      </c>
      <c r="L23" s="42"/>
      <c r="M23" s="100" t="s">
        <v>109</v>
      </c>
      <c r="Q23" s="100" t="s">
        <v>110</v>
      </c>
    </row>
    <row r="24" spans="2:18" ht="31.8">
      <c r="B24" s="8" t="s">
        <v>6</v>
      </c>
      <c r="C24" s="6" t="s">
        <v>77</v>
      </c>
      <c r="D24" s="6"/>
      <c r="E24" s="53"/>
      <c r="F24" s="69"/>
      <c r="G24" s="69"/>
      <c r="H24" s="69"/>
      <c r="I24" s="27"/>
      <c r="L24" s="99" t="s">
        <v>104</v>
      </c>
      <c r="M24" s="100" t="s">
        <v>108</v>
      </c>
      <c r="P24" s="99" t="s">
        <v>104</v>
      </c>
      <c r="Q24" s="100" t="s">
        <v>108</v>
      </c>
    </row>
    <row r="25" spans="2:18" ht="15.6">
      <c r="B25" s="8"/>
      <c r="C25" s="6" t="s">
        <v>83</v>
      </c>
      <c r="D25" s="6"/>
      <c r="E25" s="66">
        <v>0.4</v>
      </c>
      <c r="F25" s="70">
        <f>ROUND(($E$25)*SUM(F11:F19),0)</f>
        <v>0</v>
      </c>
      <c r="G25" s="70">
        <f>ROUND(($E$25)*SUM(G11:G19),0)</f>
        <v>0</v>
      </c>
      <c r="H25" s="70">
        <f>ROUND(($E$25)*SUM(H11:H19),0)</f>
        <v>0</v>
      </c>
      <c r="I25" s="21">
        <v>0</v>
      </c>
      <c r="L25" s="102" t="s">
        <v>105</v>
      </c>
      <c r="M25" s="103"/>
      <c r="N25" s="104">
        <f>(M25/12)*2249</f>
        <v>0</v>
      </c>
      <c r="P25" s="102" t="s">
        <v>105</v>
      </c>
      <c r="Q25" s="103"/>
      <c r="R25" s="104">
        <f>Q25/12*2249</f>
        <v>0</v>
      </c>
    </row>
    <row r="26" spans="2:18" ht="15.6">
      <c r="B26" s="8"/>
      <c r="C26" s="6" t="s">
        <v>84</v>
      </c>
      <c r="D26" s="6"/>
      <c r="E26" s="63">
        <v>7.6499999999999999E-2</v>
      </c>
      <c r="F26" s="70">
        <f>ROUND($F$22*E26,0)</f>
        <v>0</v>
      </c>
      <c r="G26" s="70">
        <f>ROUND($G$22*E26,0)</f>
        <v>0</v>
      </c>
      <c r="H26" s="70">
        <f>ROUND($H$22*E26,0)</f>
        <v>0</v>
      </c>
      <c r="I26" s="27"/>
      <c r="L26" s="102" t="s">
        <v>106</v>
      </c>
      <c r="M26" s="103"/>
      <c r="N26" s="104">
        <f>(M26/9)*1731</f>
        <v>0</v>
      </c>
      <c r="P26" s="102" t="s">
        <v>106</v>
      </c>
      <c r="Q26" s="103"/>
      <c r="R26" s="104">
        <f>Q26/9*1731</f>
        <v>0</v>
      </c>
    </row>
    <row r="27" spans="2:18" ht="15.6">
      <c r="B27" s="8"/>
      <c r="C27" s="6" t="s">
        <v>26</v>
      </c>
      <c r="D27" s="6"/>
      <c r="E27" s="63"/>
      <c r="F27" s="70">
        <f>N28</f>
        <v>0</v>
      </c>
      <c r="G27" s="107"/>
      <c r="H27" s="70">
        <f>R28</f>
        <v>0</v>
      </c>
      <c r="I27" s="27"/>
      <c r="L27" s="102" t="s">
        <v>107</v>
      </c>
      <c r="M27" s="103"/>
      <c r="N27" s="104">
        <f>(M27/3)*518</f>
        <v>0</v>
      </c>
      <c r="P27" s="102" t="s">
        <v>107</v>
      </c>
      <c r="Q27" s="103"/>
      <c r="R27" s="104">
        <f>Q27/3*518</f>
        <v>0</v>
      </c>
    </row>
    <row r="28" spans="2:18" ht="15.6">
      <c r="B28" s="8" t="s">
        <v>7</v>
      </c>
      <c r="C28" s="6" t="s">
        <v>78</v>
      </c>
      <c r="D28" s="6"/>
      <c r="E28" s="63"/>
      <c r="F28" s="70">
        <f>SUM(F25:F27)</f>
        <v>0</v>
      </c>
      <c r="G28" s="70">
        <f t="shared" ref="G28:I28" si="0">SUM(G25:G27)</f>
        <v>0</v>
      </c>
      <c r="H28" s="70">
        <f t="shared" si="0"/>
        <v>0</v>
      </c>
      <c r="I28" s="70">
        <f t="shared" si="0"/>
        <v>0</v>
      </c>
      <c r="L28" s="101"/>
      <c r="M28" s="101"/>
      <c r="N28" s="104">
        <f>SUM(N25:N27)</f>
        <v>0</v>
      </c>
      <c r="R28" s="104">
        <f>SUM(R25:R27)</f>
        <v>0</v>
      </c>
    </row>
    <row r="29" spans="2:18" ht="15.6">
      <c r="B29" s="8" t="s">
        <v>8</v>
      </c>
      <c r="C29" s="5" t="s">
        <v>38</v>
      </c>
      <c r="D29" s="6"/>
      <c r="E29" s="10"/>
      <c r="F29" s="70">
        <f>SUM(F23+F28)</f>
        <v>0</v>
      </c>
      <c r="G29" s="70">
        <f>SUM(G23+G28)</f>
        <v>0</v>
      </c>
      <c r="H29" s="70">
        <f>SUM(H23+H28)</f>
        <v>0</v>
      </c>
      <c r="I29" s="21">
        <f>SUM(I23+I28)</f>
        <v>0</v>
      </c>
    </row>
    <row r="30" spans="2:18" ht="15.6">
      <c r="B30" s="7" t="s">
        <v>9</v>
      </c>
      <c r="C30" s="5" t="s">
        <v>28</v>
      </c>
      <c r="D30" s="6"/>
      <c r="E30" s="12"/>
      <c r="F30" s="70">
        <v>0</v>
      </c>
      <c r="G30" s="70">
        <v>0</v>
      </c>
      <c r="H30" s="70">
        <v>0</v>
      </c>
      <c r="I30" s="21">
        <v>0</v>
      </c>
    </row>
    <row r="31" spans="2:18" ht="15.6">
      <c r="B31" s="13" t="s">
        <v>10</v>
      </c>
      <c r="C31" s="14" t="s">
        <v>19</v>
      </c>
      <c r="D31" s="2"/>
      <c r="E31" s="10"/>
      <c r="F31" s="70">
        <v>0</v>
      </c>
      <c r="G31" s="70">
        <v>0</v>
      </c>
      <c r="H31" s="70">
        <v>0</v>
      </c>
      <c r="I31" s="21">
        <v>0</v>
      </c>
    </row>
    <row r="32" spans="2:18" ht="15.6">
      <c r="B32" s="8" t="s">
        <v>11</v>
      </c>
      <c r="C32" s="15" t="s">
        <v>34</v>
      </c>
      <c r="D32" s="6"/>
      <c r="E32" s="10"/>
      <c r="F32" s="70">
        <v>0</v>
      </c>
      <c r="G32" s="70">
        <v>0</v>
      </c>
      <c r="H32" s="70">
        <v>0</v>
      </c>
      <c r="I32" s="21">
        <v>0</v>
      </c>
    </row>
    <row r="33" spans="1:17" ht="15.6">
      <c r="B33" s="8" t="s">
        <v>12</v>
      </c>
      <c r="C33" s="15" t="s">
        <v>35</v>
      </c>
      <c r="D33" s="6"/>
      <c r="E33" s="10"/>
      <c r="F33" s="71"/>
      <c r="G33" s="71"/>
      <c r="H33" s="107"/>
      <c r="I33" s="28"/>
      <c r="N33" s="39" t="s">
        <v>61</v>
      </c>
    </row>
    <row r="34" spans="1:17" ht="15.6">
      <c r="B34" s="22"/>
      <c r="C34" s="15" t="s">
        <v>39</v>
      </c>
      <c r="D34" s="6"/>
      <c r="E34" s="10"/>
      <c r="F34" s="70">
        <f>SUM(M36:M39)</f>
        <v>0</v>
      </c>
      <c r="G34" s="70">
        <v>0</v>
      </c>
      <c r="H34" s="28"/>
      <c r="I34" s="28"/>
      <c r="L34" s="40" t="s">
        <v>55</v>
      </c>
      <c r="N34" s="39" t="s">
        <v>62</v>
      </c>
    </row>
    <row r="35" spans="1:17" ht="15.6">
      <c r="B35" s="8"/>
      <c r="C35" s="15" t="s">
        <v>40</v>
      </c>
      <c r="D35" s="6"/>
      <c r="E35" s="10"/>
      <c r="F35" s="70">
        <v>0</v>
      </c>
      <c r="G35" s="70">
        <v>0</v>
      </c>
      <c r="H35" s="70">
        <v>0</v>
      </c>
      <c r="I35" s="21">
        <v>0</v>
      </c>
      <c r="L35" s="40" t="s">
        <v>56</v>
      </c>
      <c r="M35" s="38" t="s">
        <v>54</v>
      </c>
      <c r="N35" s="39" t="s">
        <v>63</v>
      </c>
    </row>
    <row r="36" spans="1:17" ht="15.6">
      <c r="B36" s="8"/>
      <c r="C36" s="15" t="s">
        <v>76</v>
      </c>
      <c r="D36" s="6"/>
      <c r="E36" s="10"/>
      <c r="F36" s="70">
        <v>0</v>
      </c>
      <c r="G36" s="70">
        <v>0</v>
      </c>
      <c r="H36" s="70">
        <v>0</v>
      </c>
      <c r="I36" s="21">
        <v>0</v>
      </c>
      <c r="L36" s="32" t="s">
        <v>50</v>
      </c>
      <c r="M36" s="35"/>
      <c r="N36" s="41">
        <f>IF(M36&gt;=25000,"25,000",M36)</f>
        <v>0</v>
      </c>
    </row>
    <row r="37" spans="1:17" ht="15.6">
      <c r="B37" s="8" t="s">
        <v>13</v>
      </c>
      <c r="C37" s="15" t="s">
        <v>36</v>
      </c>
      <c r="D37" s="6"/>
      <c r="E37" s="10"/>
      <c r="F37" s="70">
        <v>0</v>
      </c>
      <c r="G37" s="70">
        <v>0</v>
      </c>
      <c r="H37" s="70">
        <v>0</v>
      </c>
      <c r="I37" s="21">
        <v>0</v>
      </c>
      <c r="L37" s="33" t="s">
        <v>51</v>
      </c>
      <c r="M37" s="36"/>
      <c r="N37" s="41">
        <f>IF(M37&gt;=25000,"25,000",M37)</f>
        <v>0</v>
      </c>
    </row>
    <row r="38" spans="1:17" ht="15.6">
      <c r="B38" s="8" t="s">
        <v>14</v>
      </c>
      <c r="C38" s="6" t="s">
        <v>18</v>
      </c>
      <c r="D38" s="6"/>
      <c r="E38" s="10"/>
      <c r="F38" s="70">
        <v>0</v>
      </c>
      <c r="G38" s="70">
        <v>0</v>
      </c>
      <c r="H38" s="70">
        <v>0</v>
      </c>
      <c r="I38" s="21">
        <v>0</v>
      </c>
      <c r="L38" s="33" t="s">
        <v>52</v>
      </c>
      <c r="M38" s="36"/>
      <c r="N38" s="41">
        <f>IF(M38&gt;=25000,"25,000",M38)</f>
        <v>0</v>
      </c>
      <c r="Q38" s="48"/>
    </row>
    <row r="39" spans="1:17" ht="15.6">
      <c r="B39" s="8" t="s">
        <v>15</v>
      </c>
      <c r="C39" s="6" t="s">
        <v>97</v>
      </c>
      <c r="D39" s="6"/>
      <c r="E39" s="10"/>
      <c r="F39" s="70">
        <v>0</v>
      </c>
      <c r="G39" s="70">
        <v>0</v>
      </c>
      <c r="H39" s="70">
        <v>0</v>
      </c>
      <c r="I39" s="21">
        <v>0</v>
      </c>
      <c r="L39" s="34" t="s">
        <v>53</v>
      </c>
      <c r="M39" s="37"/>
      <c r="N39" s="41">
        <f>IF(M39&gt;=25000,"25,000",M39)</f>
        <v>0</v>
      </c>
      <c r="Q39" s="48"/>
    </row>
    <row r="40" spans="1:17" ht="15.6">
      <c r="B40" s="8" t="s">
        <v>75</v>
      </c>
      <c r="C40" s="58" t="s">
        <v>96</v>
      </c>
      <c r="D40" s="68"/>
      <c r="E40" s="95">
        <v>0.38</v>
      </c>
      <c r="F40" s="70">
        <f>F20*E40</f>
        <v>0</v>
      </c>
      <c r="G40" s="71"/>
      <c r="H40" s="70">
        <f>H20*E40</f>
        <v>0</v>
      </c>
      <c r="I40" s="28"/>
      <c r="Q40" s="48"/>
    </row>
    <row r="41" spans="1:17" ht="15.6">
      <c r="B41" s="11" t="s">
        <v>79</v>
      </c>
      <c r="C41" s="2" t="s">
        <v>29</v>
      </c>
      <c r="D41" s="2"/>
      <c r="E41" s="16"/>
      <c r="F41" s="70">
        <f>SUM(F29:F40)</f>
        <v>0</v>
      </c>
      <c r="G41" s="70">
        <f>SUM(G29:G40)</f>
        <v>0</v>
      </c>
      <c r="H41" s="70">
        <f>SUM(H29:H40)</f>
        <v>0</v>
      </c>
      <c r="I41" s="21">
        <f>SUM(I29:I40)</f>
        <v>0</v>
      </c>
      <c r="Q41" s="48"/>
    </row>
    <row r="42" spans="1:17" ht="15.6">
      <c r="B42" s="8" t="s">
        <v>80</v>
      </c>
      <c r="C42" s="6" t="s">
        <v>41</v>
      </c>
      <c r="D42" s="6"/>
      <c r="E42" s="2"/>
      <c r="F42" s="71"/>
      <c r="G42" s="71"/>
      <c r="H42" s="71"/>
      <c r="I42" s="28"/>
      <c r="L42" t="s">
        <v>95</v>
      </c>
      <c r="Q42" s="48"/>
    </row>
    <row r="43" spans="1:17" ht="15.6">
      <c r="B43" s="30" t="s">
        <v>42</v>
      </c>
      <c r="C43" s="72">
        <f>IF(L17="Research On-Campus",0.5,IF(L17="Research State On-Campus",0.26,IF(L17="Public Service On-Campus",0.35,IF(L17="Public Service State On-Campus",0.26,IF(L17="Instruction On-Campus",0.49,IF(L17="Instruction State On-Campus",0.26,IF(L17="Off-Campus",0.26,IF(L17="Other",L18))))))))</f>
        <v>0.5</v>
      </c>
      <c r="D43" s="73" t="s">
        <v>43</v>
      </c>
      <c r="E43" s="74">
        <f>IF($N$36&gt;25000,"25000",$N$36)+IF($N$37&gt;25000,"25000",$N$37)+IF($N$38&gt;25000,"25000",$N$38)+IF($N$39&gt;25000,"25000",$N$39)+$F$41-$F$34-$F$38-$F$40-$F$39</f>
        <v>0</v>
      </c>
      <c r="F43" s="110">
        <f>((ROUND(((ROUND((F11*$E$25)+(F11),0))*$C$43),0)+(ROUND(((ROUND((F12*$E$25)+(F12),0))*$C$43),0)+(ROUND(((ROUND((F13*$E$25)+(F13),0))*$C$43),0)+(ROUND(((ROUND((F14*$E$25)+(F14),0))*$C$43),0)+(ROUND(((ROUND((F15*$E$25)+(F15),0))*$C$43),0)+(ROUND(((ROUND((F16*$E$25)+(F16),0))*$C$43),0)+(ROUND(((ROUND((F18*$E$25)+(F18),0))*$C$43),0)+(ROUND(((ROUND((F19*$E$25)+(F19),0))*$C$43),0)+(ROUND((((F27)+(F20))*$C$43),0))+(ROUND(((F21)*$C$43),0))+(ROUND(((ROUND((F22*$E$26)+(F22),0))*$C$43),0)+(ROUND(((F30)*$C$43),0))+(ROUND(((F31)*$C$43),0))+(ROUND(((F32)*$C$43),0))+(ROUND(((IF($N$36&gt;25000,"25000",$N$36)+IF($N$37&gt;25000,"25000",$N$37)+IF($N$38&gt;25000,"25000",$N$38)+IF($N$39&gt;25000,"25000",$N$39))*$C$43),0))+(ROUND(((F35)*$C$43),0))+(ROUND(((F36)*$C$43),0))+(ROUND(((F37)*$C$43),0))))))))))))</f>
        <v>0</v>
      </c>
      <c r="G43" s="110">
        <f>((ROUND(((ROUND((G11*$E$25)+(G11),0))*$L$43),0)+(ROUND(((ROUND((G12*$E$25)+(G12),0))*$L$43),0)+(ROUND(((ROUND((G13*$E$25)+(G13),0))*$L$43),0)+(ROUND(((ROUND((G14*$E$25)+(G14),0))*$L$43),0)+(ROUND(((ROUND((G15*$E$25)+(G15),0))*$L$43),0)+(ROUND(((ROUND((G16*$E$25)+(G16),0))*$L$43),0)+(ROUND(((ROUND((G18*$E$25)+(G18),0))*$L$43),0)+(ROUND(((ROUND((G19*$E$25)+(G19),0))*$L$43),0)+(ROUND((((G27)+(G20))*$L$43),0))+(ROUND(((G21)*$L$43),0))+(ROUND(((ROUND((G22*$E$26)+(G22),0))*$L$43),0)+(ROUND(((G30)*$L$43),0))+(ROUND(((G31)*$L$43),0))+(ROUND(((G32)*$L$43),0))+(ROUND(((G35)*$L$43),0))+(ROUND(((G36)*$L$43),0))+(ROUND(((G37)*$L$43),0))))))))))))</f>
        <v>0</v>
      </c>
      <c r="H43" s="110">
        <f>((ROUND(((ROUND((H11*$E$25)+(H11),0))*$L$43),0)+(ROUND(((ROUND((H12*$E$25)+(H12),0))*$L$43),0)+(ROUND(((ROUND((H13*$E$25)+(H13),0))*$L$43),0)+(ROUND(((ROUND((H14*$E$25)+(H14),0))*$L$43),0)+(ROUND(((ROUND((H15*$E$25)+(H15),0))*$L$43),0)+(ROUND(((ROUND((H16*$E$25)+(H16),0))*$L$43),0)+(ROUND(((ROUND((H18*$E$25)+(H18),0))*$L$43),0)+(ROUND(((ROUND((H19*$E$25)+(H19),0))*$L$43),0)+(ROUND((((H27)+(H20))*$L$43),0))+(ROUND(((H21)*$L$43),0))+(ROUND(((ROUND((H22*$E$26)+(H22),0))*$L$43),0)+(ROUND(((H30)*$L$43),0))+(ROUND(((H31)*$L$43),0))+(ROUND(((H32)*$L$43),0))+(ROUND(((H35)*$L$43),0))+(ROUND(((H36)*$L$43),0))+(ROUND(((H37)*$L$43),0))))))))))))</f>
        <v>0</v>
      </c>
      <c r="I43" s="28"/>
      <c r="L43">
        <f>IF($L$17="Public Service State On-Campus",0.35,IF($L$17="Other",0.5,IF($L$17="Public Service On-Campus",0.35,IF(L17="Research State On-Campus",0.5,IF(L17="Instruction State On-Campus",0.49,IF(L17="Off-Campus",0.26,IF(L17="Research On-Campus",0.5,IF(L17="Public Service On-Campus",0.35))))))))</f>
        <v>0.5</v>
      </c>
      <c r="Q43" s="48"/>
    </row>
    <row r="44" spans="1:17" ht="15.6">
      <c r="B44" s="76"/>
      <c r="C44" s="72"/>
      <c r="D44" s="73" t="s">
        <v>90</v>
      </c>
      <c r="E44" s="74"/>
      <c r="F44" s="71"/>
      <c r="G44" s="70">
        <v>0</v>
      </c>
      <c r="H44" s="71"/>
      <c r="I44" s="28"/>
      <c r="Q44" s="48"/>
    </row>
    <row r="45" spans="1:17" ht="16.2" thickBot="1">
      <c r="B45" s="29" t="s">
        <v>98</v>
      </c>
      <c r="C45" s="17" t="s">
        <v>32</v>
      </c>
      <c r="D45" s="18"/>
      <c r="E45" s="19"/>
      <c r="F45" s="77">
        <f>SUM(F41:F44)</f>
        <v>0</v>
      </c>
      <c r="G45" s="77">
        <f>SUM(G41:G44)</f>
        <v>0</v>
      </c>
      <c r="H45" s="77">
        <f>SUM(H41:H44)</f>
        <v>0</v>
      </c>
      <c r="I45" s="31">
        <f>SUM(I41:I44)</f>
        <v>0</v>
      </c>
      <c r="J45" s="56"/>
      <c r="Q45" s="48"/>
    </row>
    <row r="46" spans="1:17" ht="15.6">
      <c r="B46" s="57" t="s">
        <v>99</v>
      </c>
      <c r="D46" s="2"/>
      <c r="E46" s="2"/>
      <c r="F46" s="98"/>
      <c r="G46" s="98"/>
      <c r="H46" s="98"/>
      <c r="I46" s="98"/>
      <c r="J46" s="56"/>
      <c r="Q46" s="48"/>
    </row>
    <row r="47" spans="1:17" ht="15.6">
      <c r="B47" s="57"/>
      <c r="C47" s="57" t="s">
        <v>100</v>
      </c>
      <c r="D47" s="2"/>
      <c r="E47" s="2"/>
      <c r="F47" s="98"/>
      <c r="G47" s="98"/>
      <c r="H47" s="98"/>
      <c r="I47" s="98"/>
      <c r="J47" s="56"/>
      <c r="Q47" s="48"/>
    </row>
    <row r="48" spans="1:17" ht="15.6">
      <c r="A48" s="57"/>
      <c r="B48" s="57"/>
      <c r="C48" s="20"/>
      <c r="D48" s="2"/>
      <c r="E48" s="2"/>
      <c r="F48" s="2"/>
      <c r="G48" s="2"/>
      <c r="H48" s="2"/>
      <c r="I48" s="2"/>
      <c r="J48" s="56"/>
      <c r="Q48" s="48"/>
    </row>
    <row r="49" spans="1:17" ht="16.5" customHeight="1">
      <c r="A49" s="114" t="s">
        <v>16</v>
      </c>
      <c r="B49" s="114"/>
      <c r="C49" s="114"/>
      <c r="D49" s="114"/>
      <c r="E49" s="114"/>
      <c r="F49" s="114"/>
      <c r="G49" s="114"/>
      <c r="H49" s="114"/>
      <c r="I49" s="114"/>
      <c r="J49" s="114"/>
      <c r="K49" s="62"/>
      <c r="Q49" s="48"/>
    </row>
    <row r="50" spans="1:17" ht="15.6">
      <c r="A50" s="115" t="s">
        <v>20</v>
      </c>
      <c r="B50" s="115"/>
      <c r="C50" s="115"/>
      <c r="D50" s="115"/>
      <c r="E50" s="115"/>
      <c r="F50" s="115"/>
      <c r="G50" s="115"/>
      <c r="H50" s="115"/>
      <c r="I50" s="115"/>
      <c r="J50" s="115"/>
      <c r="K50" s="25"/>
      <c r="Q50" s="48"/>
    </row>
    <row r="51" spans="1:17" ht="15.6">
      <c r="A51" s="3" t="s">
        <v>44</v>
      </c>
      <c r="B51" s="25"/>
      <c r="C51" s="25"/>
      <c r="D51" s="25"/>
      <c r="E51" s="25"/>
      <c r="F51" s="25"/>
      <c r="G51" s="25"/>
      <c r="H51" s="25"/>
      <c r="I51" s="25"/>
      <c r="J51" s="25"/>
      <c r="K51" s="25"/>
      <c r="Q51" s="48"/>
    </row>
    <row r="52" spans="1:17" ht="36.75" customHeight="1">
      <c r="C52" s="4" t="s">
        <v>22</v>
      </c>
      <c r="D52" s="78"/>
      <c r="E52" s="112" t="str">
        <f>IF($L$2&gt;1,E5,"")</f>
        <v/>
      </c>
      <c r="F52" s="112"/>
      <c r="G52" s="112"/>
      <c r="H52" s="112"/>
      <c r="I52" s="112"/>
      <c r="J52" s="81"/>
      <c r="K52" s="20"/>
      <c r="Q52" s="48"/>
    </row>
    <row r="53" spans="1:17" ht="15.6">
      <c r="B53" s="4"/>
      <c r="C53" s="44" t="s">
        <v>21</v>
      </c>
      <c r="E53" s="58" t="str">
        <f>IF($L$2&gt;1,E6,"")</f>
        <v/>
      </c>
      <c r="F53" s="58"/>
      <c r="G53" s="58"/>
      <c r="H53" s="58"/>
      <c r="I53" s="58"/>
      <c r="Q53" s="48"/>
    </row>
    <row r="54" spans="1:17">
      <c r="Q54" s="48"/>
    </row>
    <row r="55" spans="1:17" ht="13.8" thickBot="1">
      <c r="Q55" s="48"/>
    </row>
    <row r="56" spans="1:17" ht="31.8" thickBot="1">
      <c r="B56" s="2"/>
      <c r="C56" s="2"/>
      <c r="D56" s="2"/>
      <c r="E56" s="2"/>
      <c r="F56" s="60" t="s">
        <v>23</v>
      </c>
      <c r="G56" s="60" t="s">
        <v>88</v>
      </c>
      <c r="H56" s="80" t="s">
        <v>93</v>
      </c>
      <c r="I56" s="80" t="s">
        <v>94</v>
      </c>
      <c r="L56" s="42"/>
      <c r="Q56" s="48"/>
    </row>
    <row r="57" spans="1:17" ht="15.6">
      <c r="B57" s="54" t="s">
        <v>0</v>
      </c>
      <c r="C57" s="55" t="s">
        <v>73</v>
      </c>
      <c r="D57" s="55"/>
      <c r="E57" s="91"/>
      <c r="F57" s="86"/>
      <c r="G57" s="75"/>
      <c r="H57" s="75"/>
      <c r="I57" s="52"/>
      <c r="L57" s="51"/>
      <c r="Q57" s="48"/>
    </row>
    <row r="58" spans="1:17" ht="15.6">
      <c r="B58" s="8"/>
      <c r="C58" s="9" t="s">
        <v>1</v>
      </c>
      <c r="D58" s="6" t="str">
        <f>IF(D11=""," ",D11)</f>
        <v xml:space="preserve"> </v>
      </c>
      <c r="E58" s="10"/>
      <c r="F58" s="87" t="str">
        <f>IF($L$2&gt;1,ROUND(SUM(F11+(F11*$L$10)),0),"")</f>
        <v/>
      </c>
      <c r="G58" s="87" t="str">
        <f t="shared" ref="G58:H58" si="1">IF($L$2&gt;1,ROUND(SUM(G11+(G11*$L$10)),0),"")</f>
        <v/>
      </c>
      <c r="H58" s="87" t="str">
        <f t="shared" si="1"/>
        <v/>
      </c>
      <c r="I58" s="27"/>
      <c r="L58" s="42"/>
      <c r="Q58" s="48"/>
    </row>
    <row r="59" spans="1:17" ht="15.6">
      <c r="B59" s="8"/>
      <c r="C59" s="9" t="s">
        <v>2</v>
      </c>
      <c r="D59" s="6" t="str">
        <f>IF(D12=""," ",D12)</f>
        <v xml:space="preserve"> </v>
      </c>
      <c r="E59" s="10"/>
      <c r="F59" s="87" t="str">
        <f t="shared" ref="F59:F63" si="2">IF($L$2&gt;1,ROUND(SUM(F12+(F12*$L$10)),0),"")</f>
        <v/>
      </c>
      <c r="G59" s="87" t="str">
        <f t="shared" ref="G59:H63" si="3">IF($L$2&gt;1,ROUND(SUM(G12+(G12*$L$10)),0),"")</f>
        <v/>
      </c>
      <c r="H59" s="87" t="str">
        <f t="shared" si="3"/>
        <v/>
      </c>
      <c r="I59" s="27"/>
      <c r="L59" s="96"/>
      <c r="Q59" s="48"/>
    </row>
    <row r="60" spans="1:17" ht="15.6">
      <c r="B60" s="8"/>
      <c r="C60" s="9" t="s">
        <v>3</v>
      </c>
      <c r="D60" s="6" t="str">
        <f>IF(D13=""," ",D13)</f>
        <v xml:space="preserve"> </v>
      </c>
      <c r="E60" s="10"/>
      <c r="F60" s="87" t="str">
        <f t="shared" si="2"/>
        <v/>
      </c>
      <c r="G60" s="87" t="str">
        <f t="shared" si="3"/>
        <v/>
      </c>
      <c r="H60" s="87" t="str">
        <f t="shared" si="3"/>
        <v/>
      </c>
      <c r="I60" s="27"/>
      <c r="Q60" s="48"/>
    </row>
    <row r="61" spans="1:17" ht="15.6">
      <c r="B61" s="8"/>
      <c r="C61" s="9" t="s">
        <v>4</v>
      </c>
      <c r="D61" s="6" t="str">
        <f>IF(D14=""," ",D14)</f>
        <v xml:space="preserve"> </v>
      </c>
      <c r="E61" s="10"/>
      <c r="F61" s="87" t="str">
        <f t="shared" si="2"/>
        <v/>
      </c>
      <c r="G61" s="87" t="str">
        <f t="shared" si="3"/>
        <v/>
      </c>
      <c r="H61" s="87" t="str">
        <f t="shared" si="3"/>
        <v/>
      </c>
      <c r="I61" s="27"/>
      <c r="Q61" s="48"/>
    </row>
    <row r="62" spans="1:17" ht="15.6">
      <c r="B62" s="8"/>
      <c r="C62" s="9" t="s">
        <v>24</v>
      </c>
      <c r="D62" s="6" t="str">
        <f>IF(D15=""," ",D15)</f>
        <v xml:space="preserve"> </v>
      </c>
      <c r="E62" s="10"/>
      <c r="F62" s="87" t="str">
        <f t="shared" si="2"/>
        <v/>
      </c>
      <c r="G62" s="87" t="str">
        <f t="shared" si="3"/>
        <v/>
      </c>
      <c r="H62" s="87" t="str">
        <f t="shared" si="3"/>
        <v/>
      </c>
      <c r="I62" s="27"/>
      <c r="Q62" s="48"/>
    </row>
    <row r="63" spans="1:17" ht="15.6">
      <c r="B63" s="8"/>
      <c r="C63" s="9" t="s">
        <v>25</v>
      </c>
      <c r="D63" s="6" t="s">
        <v>48</v>
      </c>
      <c r="E63" s="10"/>
      <c r="F63" s="87" t="str">
        <f t="shared" si="2"/>
        <v/>
      </c>
      <c r="G63" s="87" t="str">
        <f t="shared" si="3"/>
        <v/>
      </c>
      <c r="H63" s="87" t="str">
        <f t="shared" si="3"/>
        <v/>
      </c>
      <c r="I63" s="27"/>
      <c r="Q63" s="48"/>
    </row>
    <row r="64" spans="1:17" ht="15.6">
      <c r="B64" s="8" t="s">
        <v>33</v>
      </c>
      <c r="C64" s="58" t="s">
        <v>74</v>
      </c>
      <c r="D64" s="6"/>
      <c r="E64" s="10"/>
      <c r="F64" s="88"/>
      <c r="G64" s="69"/>
      <c r="H64" s="69"/>
      <c r="I64" s="27"/>
      <c r="Q64" s="48"/>
    </row>
    <row r="65" spans="2:18" ht="15.6">
      <c r="B65" s="8"/>
      <c r="C65" s="9" t="s">
        <v>1</v>
      </c>
      <c r="D65" s="6" t="s">
        <v>30</v>
      </c>
      <c r="E65" s="10"/>
      <c r="F65" s="87" t="str">
        <f t="shared" ref="F65:H65" si="4">IF($L$2&gt;1,ROUND(SUM(F18+(F18*$L$10)),0),"")</f>
        <v/>
      </c>
      <c r="G65" s="87" t="str">
        <f t="shared" si="4"/>
        <v/>
      </c>
      <c r="H65" s="87" t="str">
        <f t="shared" si="4"/>
        <v/>
      </c>
      <c r="I65" s="27"/>
      <c r="Q65" s="48"/>
    </row>
    <row r="66" spans="2:18" ht="15.6">
      <c r="B66" s="8"/>
      <c r="C66" s="9" t="s">
        <v>2</v>
      </c>
      <c r="D66" s="6" t="s">
        <v>31</v>
      </c>
      <c r="E66" s="10"/>
      <c r="F66" s="87" t="str">
        <f t="shared" ref="F66:H66" si="5">IF($L$2&gt;1,ROUND(SUM(F19+(F19*$L$10)),0),"")</f>
        <v/>
      </c>
      <c r="G66" s="87" t="str">
        <f t="shared" si="5"/>
        <v/>
      </c>
      <c r="H66" s="87" t="str">
        <f t="shared" si="5"/>
        <v/>
      </c>
      <c r="I66" s="21">
        <v>0</v>
      </c>
      <c r="Q66" s="48"/>
    </row>
    <row r="67" spans="2:18" ht="15.6">
      <c r="B67" s="8"/>
      <c r="C67" s="9" t="s">
        <v>3</v>
      </c>
      <c r="D67" s="6" t="s">
        <v>26</v>
      </c>
      <c r="E67" s="10"/>
      <c r="F67" s="87" t="str">
        <f t="shared" ref="F67:H67" si="6">IF($L$2&gt;1,ROUND(SUM(F20+(F20*$L$10)),0),"")</f>
        <v/>
      </c>
      <c r="G67" s="108"/>
      <c r="H67" s="87" t="str">
        <f t="shared" si="6"/>
        <v/>
      </c>
      <c r="I67" s="27"/>
      <c r="Q67" s="48"/>
    </row>
    <row r="68" spans="2:18" ht="15.6">
      <c r="B68" s="8"/>
      <c r="C68" s="9" t="s">
        <v>4</v>
      </c>
      <c r="D68" s="6" t="s">
        <v>27</v>
      </c>
      <c r="E68" s="10"/>
      <c r="F68" s="87" t="str">
        <f t="shared" ref="F68:H68" si="7">IF($L$2&gt;1,ROUND(SUM(F21+(F21*$L$10)),0),"")</f>
        <v/>
      </c>
      <c r="G68" s="87" t="str">
        <f t="shared" si="7"/>
        <v/>
      </c>
      <c r="H68" s="87" t="str">
        <f t="shared" si="7"/>
        <v/>
      </c>
      <c r="I68" s="27"/>
      <c r="M68" s="100" t="s">
        <v>109</v>
      </c>
      <c r="Q68" s="100" t="s">
        <v>110</v>
      </c>
    </row>
    <row r="69" spans="2:18" ht="31.8">
      <c r="B69" s="8"/>
      <c r="C69" s="9" t="s">
        <v>24</v>
      </c>
      <c r="D69" s="6" t="s">
        <v>81</v>
      </c>
      <c r="E69" s="10"/>
      <c r="F69" s="87" t="str">
        <f t="shared" ref="F69:H69" si="8">IF($L$2&gt;1,ROUND(SUM(F22+(F22*$L$10)),0),"")</f>
        <v/>
      </c>
      <c r="G69" s="87" t="str">
        <f t="shared" si="8"/>
        <v/>
      </c>
      <c r="H69" s="87" t="str">
        <f t="shared" si="8"/>
        <v/>
      </c>
      <c r="I69" s="27"/>
      <c r="L69" s="99" t="s">
        <v>104</v>
      </c>
      <c r="M69" s="100" t="s">
        <v>108</v>
      </c>
      <c r="N69" s="101"/>
      <c r="P69" s="99" t="s">
        <v>104</v>
      </c>
      <c r="Q69" s="100" t="s">
        <v>108</v>
      </c>
    </row>
    <row r="70" spans="2:18" ht="15.6">
      <c r="B70" s="8" t="s">
        <v>5</v>
      </c>
      <c r="C70" s="6" t="s">
        <v>37</v>
      </c>
      <c r="D70" s="6"/>
      <c r="E70" s="10"/>
      <c r="F70" s="87" t="str">
        <f>IF($L$2&gt;1,SUM(F58:F69),"")</f>
        <v/>
      </c>
      <c r="G70" s="87" t="str">
        <f t="shared" ref="G70:H70" si="9">IF($L$2&gt;1,SUM(G58:G69),"")</f>
        <v/>
      </c>
      <c r="H70" s="87" t="str">
        <f t="shared" si="9"/>
        <v/>
      </c>
      <c r="I70" s="21" t="str">
        <f>IF($L$2&gt;1,SUM(I58:I69),"")</f>
        <v/>
      </c>
      <c r="L70" s="102" t="s">
        <v>105</v>
      </c>
      <c r="M70" s="103" t="str">
        <f>IF($L$2&gt;1,M25,"")</f>
        <v/>
      </c>
      <c r="N70" s="104" t="str">
        <f>IF($L$2&gt;1,(M70/12)*2249,"")</f>
        <v/>
      </c>
      <c r="P70" s="102" t="s">
        <v>105</v>
      </c>
      <c r="Q70" s="103" t="str">
        <f>IF($L$2&gt;1,Q25,"")</f>
        <v/>
      </c>
      <c r="R70" s="104" t="str">
        <f>IF($L$2&gt;1,(Q70/12)*2249,"")</f>
        <v/>
      </c>
    </row>
    <row r="71" spans="2:18" ht="15.6">
      <c r="B71" s="8" t="s">
        <v>6</v>
      </c>
      <c r="C71" s="6" t="s">
        <v>77</v>
      </c>
      <c r="D71" s="6"/>
      <c r="E71" s="53"/>
      <c r="F71" s="88"/>
      <c r="G71" s="69"/>
      <c r="H71" s="69"/>
      <c r="I71" s="27"/>
      <c r="L71" s="102" t="s">
        <v>106</v>
      </c>
      <c r="M71" s="103" t="str">
        <f t="shared" ref="M71:M72" si="10">IF($L$2&gt;1,M26,"")</f>
        <v/>
      </c>
      <c r="N71" s="104" t="str">
        <f>IF($L$2&gt;1,(M71/9)*1731,"")</f>
        <v/>
      </c>
      <c r="P71" s="102" t="s">
        <v>106</v>
      </c>
      <c r="Q71" s="103" t="str">
        <f t="shared" ref="Q71:Q72" si="11">IF($L$2&gt;1,Q26,"")</f>
        <v/>
      </c>
      <c r="R71" s="104" t="str">
        <f>IF($L$2&gt;1,(Q71/9)*1731,"")</f>
        <v/>
      </c>
    </row>
    <row r="72" spans="2:18" ht="15.6">
      <c r="B72" s="8"/>
      <c r="C72" s="6" t="s">
        <v>83</v>
      </c>
      <c r="D72" s="6"/>
      <c r="E72" s="66">
        <v>0.4</v>
      </c>
      <c r="F72" s="87" t="str">
        <f>IF($L$2&gt;1,ROUND(($E$72)*SUM(F58:F66),0),"")</f>
        <v/>
      </c>
      <c r="G72" s="87" t="str">
        <f t="shared" ref="G72:H72" si="12">IF($L$2&gt;1,ROUND(($E$72)*SUM(G58:G66),0),"")</f>
        <v/>
      </c>
      <c r="H72" s="87" t="str">
        <f t="shared" si="12"/>
        <v/>
      </c>
      <c r="I72" s="27"/>
      <c r="L72" s="102" t="s">
        <v>107</v>
      </c>
      <c r="M72" s="103" t="str">
        <f t="shared" si="10"/>
        <v/>
      </c>
      <c r="N72" s="104" t="str">
        <f>IF($L$2&gt;1,(M72/3)*518,"")</f>
        <v/>
      </c>
      <c r="P72" s="102" t="s">
        <v>107</v>
      </c>
      <c r="Q72" s="103" t="str">
        <f t="shared" si="11"/>
        <v/>
      </c>
      <c r="R72" s="104" t="str">
        <f>IF($L$2&gt;1,(Q72/3)*518,"")</f>
        <v/>
      </c>
    </row>
    <row r="73" spans="2:18" ht="15.6">
      <c r="B73" s="8"/>
      <c r="C73" s="6" t="s">
        <v>84</v>
      </c>
      <c r="D73" s="6"/>
      <c r="E73" s="63">
        <v>7.6499999999999999E-2</v>
      </c>
      <c r="F73" s="87" t="str">
        <f>IF($L$2&gt;1,F69*$E$73,"")</f>
        <v/>
      </c>
      <c r="G73" s="87" t="str">
        <f t="shared" ref="G73:H73" si="13">IF($L$2&gt;1,G69*$E$73,"")</f>
        <v/>
      </c>
      <c r="H73" s="87" t="str">
        <f t="shared" si="13"/>
        <v/>
      </c>
      <c r="I73" s="27"/>
      <c r="L73" s="101"/>
      <c r="M73" s="101"/>
      <c r="N73" s="104" t="str">
        <f>IF($L$2&gt;1,SUM(N70:N72),"")</f>
        <v/>
      </c>
      <c r="R73" s="104" t="str">
        <f>IF($L$2&gt;1,SUM(R70:R72),"")</f>
        <v/>
      </c>
    </row>
    <row r="74" spans="2:18" ht="15.6">
      <c r="B74" s="8"/>
      <c r="C74" s="6" t="s">
        <v>26</v>
      </c>
      <c r="D74" s="6"/>
      <c r="E74" s="63"/>
      <c r="F74" s="87" t="str">
        <f>IF($L$2&gt;1,N73,"")</f>
        <v/>
      </c>
      <c r="G74" s="107"/>
      <c r="H74" s="70" t="str">
        <f>R73</f>
        <v/>
      </c>
      <c r="I74" s="27"/>
      <c r="Q74" s="48"/>
    </row>
    <row r="75" spans="2:18" ht="15.6">
      <c r="B75" s="8" t="s">
        <v>7</v>
      </c>
      <c r="C75" s="6" t="s">
        <v>78</v>
      </c>
      <c r="D75" s="6"/>
      <c r="E75" s="63"/>
      <c r="F75" s="87" t="str">
        <f>IF($L$2&gt;1,SUM(F72:F74),"")</f>
        <v/>
      </c>
      <c r="G75" s="87" t="str">
        <f>IF($L$2&gt;1,SUM(G72:G74),"")</f>
        <v/>
      </c>
      <c r="H75" s="87" t="str">
        <f t="shared" ref="H75:I75" si="14">IF($L$2&gt;1,SUM(H72:H74),"")</f>
        <v/>
      </c>
      <c r="I75" s="87" t="str">
        <f t="shared" si="14"/>
        <v/>
      </c>
      <c r="Q75" s="48"/>
    </row>
    <row r="76" spans="2:18" ht="15.6">
      <c r="B76" s="8" t="s">
        <v>8</v>
      </c>
      <c r="C76" s="6" t="s">
        <v>38</v>
      </c>
      <c r="D76" s="6"/>
      <c r="E76" s="10"/>
      <c r="F76" s="87" t="str">
        <f>IF($L$2&gt;1,SUM(F70+F75),"")</f>
        <v/>
      </c>
      <c r="G76" s="87" t="str">
        <f t="shared" ref="G76:I76" si="15">IF($L$2&gt;1,SUM(G70+G75),"")</f>
        <v/>
      </c>
      <c r="H76" s="87" t="str">
        <f t="shared" si="15"/>
        <v/>
      </c>
      <c r="I76" s="87" t="str">
        <f t="shared" si="15"/>
        <v/>
      </c>
      <c r="Q76" s="48"/>
    </row>
    <row r="77" spans="2:18" ht="15.6">
      <c r="B77" s="8" t="s">
        <v>9</v>
      </c>
      <c r="C77" s="6" t="s">
        <v>28</v>
      </c>
      <c r="D77" s="6"/>
      <c r="E77" s="10"/>
      <c r="F77" s="87" t="str">
        <f>IF($L$2&gt;1,ROUND(SUM(F30+(F30*$L$13)),0),"")</f>
        <v/>
      </c>
      <c r="G77" s="87" t="str">
        <f t="shared" ref="G77:I77" si="16">IF($L$2&gt;1,ROUND(SUM(G30+(G30*$L$13)),0),"")</f>
        <v/>
      </c>
      <c r="H77" s="87" t="str">
        <f t="shared" si="16"/>
        <v/>
      </c>
      <c r="I77" s="87" t="str">
        <f t="shared" si="16"/>
        <v/>
      </c>
      <c r="Q77" s="48"/>
    </row>
    <row r="78" spans="2:18" ht="15.6">
      <c r="B78" s="8" t="s">
        <v>10</v>
      </c>
      <c r="C78" s="15" t="s">
        <v>19</v>
      </c>
      <c r="D78" s="6"/>
      <c r="E78" s="10"/>
      <c r="F78" s="87" t="str">
        <f>IF($L$2&gt;1,ROUND(SUM(F31+(F31*$L$13)),0),"")</f>
        <v/>
      </c>
      <c r="G78" s="87" t="str">
        <f t="shared" ref="G78:I78" si="17">IF($L$2&gt;1,ROUND(SUM(G31+(G31*$L$13)),0),"")</f>
        <v/>
      </c>
      <c r="H78" s="87" t="str">
        <f t="shared" si="17"/>
        <v/>
      </c>
      <c r="I78" s="87" t="str">
        <f t="shared" si="17"/>
        <v/>
      </c>
      <c r="N78" s="39" t="s">
        <v>61</v>
      </c>
      <c r="Q78" s="48"/>
    </row>
    <row r="79" spans="2:18" ht="15.6">
      <c r="B79" s="8" t="s">
        <v>11</v>
      </c>
      <c r="C79" s="15" t="s">
        <v>34</v>
      </c>
      <c r="D79" s="6"/>
      <c r="E79" s="10"/>
      <c r="F79" s="87" t="str">
        <f>IF($L$2&gt;1,ROUND(SUM(F32+(F32*$L$13)),0),"")</f>
        <v/>
      </c>
      <c r="G79" s="87" t="str">
        <f t="shared" ref="G79:I79" si="18">IF($L$2&gt;1,ROUND(SUM(G32+(G32*$L$13)),0),"")</f>
        <v/>
      </c>
      <c r="H79" s="87" t="str">
        <f t="shared" si="18"/>
        <v/>
      </c>
      <c r="I79" s="87" t="str">
        <f t="shared" si="18"/>
        <v/>
      </c>
      <c r="L79" s="40" t="s">
        <v>55</v>
      </c>
      <c r="N79" s="39" t="s">
        <v>62</v>
      </c>
      <c r="Q79" s="48"/>
    </row>
    <row r="80" spans="2:18" ht="15.6">
      <c r="B80" s="8" t="s">
        <v>12</v>
      </c>
      <c r="C80" s="15" t="s">
        <v>35</v>
      </c>
      <c r="D80" s="6"/>
      <c r="E80" s="10"/>
      <c r="F80" s="89"/>
      <c r="G80" s="71"/>
      <c r="H80" s="71"/>
      <c r="I80" s="28"/>
      <c r="L80" s="40" t="s">
        <v>56</v>
      </c>
      <c r="M80" s="38" t="s">
        <v>57</v>
      </c>
      <c r="N80" s="39" t="s">
        <v>63</v>
      </c>
      <c r="Q80" s="48"/>
    </row>
    <row r="81" spans="1:17" ht="15.6">
      <c r="B81" s="22"/>
      <c r="C81" s="15" t="s">
        <v>39</v>
      </c>
      <c r="D81" s="6"/>
      <c r="E81" s="10"/>
      <c r="F81" s="87" t="str">
        <f>IF($L$2&gt;1,SUM(M81:M84),"")</f>
        <v/>
      </c>
      <c r="G81" s="70">
        <v>0</v>
      </c>
      <c r="H81" s="70">
        <v>0</v>
      </c>
      <c r="I81" s="28"/>
      <c r="L81" s="32" t="str">
        <f>IF($L$2&gt;1,$L$36,"Subcontract 1:")</f>
        <v>Subcontract 1:</v>
      </c>
      <c r="M81" s="35"/>
      <c r="N81" s="41">
        <f>IF(M81+N36&gt;=25000,25000-N36,M81)</f>
        <v>0</v>
      </c>
      <c r="Q81" s="48"/>
    </row>
    <row r="82" spans="1:17" ht="15.6">
      <c r="B82" s="8"/>
      <c r="C82" s="15" t="s">
        <v>40</v>
      </c>
      <c r="D82" s="6"/>
      <c r="E82" s="10"/>
      <c r="F82" s="87" t="str">
        <f>IF($L$2&gt;1,ROUND(SUM(F35+(F35*$L$13)),0),"")</f>
        <v/>
      </c>
      <c r="G82" s="87" t="str">
        <f t="shared" ref="G82:H82" si="19">IF($L$2&gt;1,ROUND(SUM(G35+(G35*$L$13)),0),"")</f>
        <v/>
      </c>
      <c r="H82" s="87" t="str">
        <f t="shared" si="19"/>
        <v/>
      </c>
      <c r="I82" s="21">
        <v>0</v>
      </c>
      <c r="L82" s="33" t="str">
        <f>IF($L$2&gt;1,$L$37,"Subcontract 2:")</f>
        <v>Subcontract 2:</v>
      </c>
      <c r="M82" s="36"/>
      <c r="N82" s="41">
        <f>IF(M82+N37&gt;=25000,25000-N37,M82)</f>
        <v>0</v>
      </c>
      <c r="Q82" s="48"/>
    </row>
    <row r="83" spans="1:17" ht="15.6">
      <c r="B83" s="8"/>
      <c r="C83" s="15" t="s">
        <v>76</v>
      </c>
      <c r="D83" s="6"/>
      <c r="E83" s="10"/>
      <c r="F83" s="87" t="str">
        <f t="shared" ref="F83:H84" si="20">IF($L$2&gt;1,ROUND(SUM(F36+(F36*$L$13)),0),"")</f>
        <v/>
      </c>
      <c r="G83" s="87" t="str">
        <f t="shared" si="20"/>
        <v/>
      </c>
      <c r="H83" s="87" t="str">
        <f t="shared" si="20"/>
        <v/>
      </c>
      <c r="I83" s="21">
        <v>0</v>
      </c>
      <c r="L83" s="33" t="str">
        <f>IF($L$2&gt;1,$L$38,"Subcontract 3:")</f>
        <v>Subcontract 3:</v>
      </c>
      <c r="M83" s="36"/>
      <c r="N83" s="41">
        <f>IF(M83+N38&gt;=25000,25000-N38,M83)</f>
        <v>0</v>
      </c>
      <c r="Q83" s="48"/>
    </row>
    <row r="84" spans="1:17" ht="15.6">
      <c r="B84" s="8" t="s">
        <v>13</v>
      </c>
      <c r="C84" s="15" t="s">
        <v>36</v>
      </c>
      <c r="D84" s="6"/>
      <c r="E84" s="10"/>
      <c r="F84" s="87" t="str">
        <f t="shared" si="20"/>
        <v/>
      </c>
      <c r="G84" s="87" t="str">
        <f t="shared" si="20"/>
        <v/>
      </c>
      <c r="H84" s="87" t="str">
        <f t="shared" si="20"/>
        <v/>
      </c>
      <c r="I84" s="21">
        <v>0</v>
      </c>
      <c r="L84" s="34" t="str">
        <f>IF($L$2&gt;1,$L$39,"Subcontract 4:")</f>
        <v>Subcontract 4:</v>
      </c>
      <c r="M84" s="37"/>
      <c r="N84" s="41">
        <f>IF(M84+N39&gt;=25000,25000-N39,M84)</f>
        <v>0</v>
      </c>
      <c r="Q84" s="48"/>
    </row>
    <row r="85" spans="1:17" ht="15.6">
      <c r="B85" s="8" t="s">
        <v>14</v>
      </c>
      <c r="C85" s="6" t="s">
        <v>18</v>
      </c>
      <c r="D85" s="6"/>
      <c r="E85" s="10"/>
      <c r="F85" s="87">
        <v>0</v>
      </c>
      <c r="G85" s="70">
        <v>0</v>
      </c>
      <c r="H85" s="70">
        <v>0</v>
      </c>
      <c r="I85" s="21">
        <v>0</v>
      </c>
      <c r="Q85" s="48"/>
    </row>
    <row r="86" spans="1:17" ht="15.6">
      <c r="B86" s="8" t="s">
        <v>15</v>
      </c>
      <c r="C86" s="6" t="s">
        <v>97</v>
      </c>
      <c r="D86" s="6"/>
      <c r="E86" s="10"/>
      <c r="F86" s="87">
        <v>0</v>
      </c>
      <c r="G86" s="70">
        <v>0</v>
      </c>
      <c r="H86" s="70">
        <v>0</v>
      </c>
      <c r="I86" s="21">
        <v>0</v>
      </c>
      <c r="Q86" s="48"/>
    </row>
    <row r="87" spans="1:17" ht="15.6">
      <c r="B87" s="8" t="s">
        <v>75</v>
      </c>
      <c r="C87" s="58" t="s">
        <v>96</v>
      </c>
      <c r="D87" s="68"/>
      <c r="E87" s="95">
        <v>0.38</v>
      </c>
      <c r="F87" s="70" t="str">
        <f>IF($L$2&gt;1,F67*E87,"")</f>
        <v/>
      </c>
      <c r="G87" s="71"/>
      <c r="H87" s="70" t="str">
        <f>IF($L$2&gt;1,H67*E87,"")</f>
        <v/>
      </c>
      <c r="I87" s="28"/>
      <c r="Q87" s="48"/>
    </row>
    <row r="88" spans="1:17" ht="15.6">
      <c r="B88" s="8" t="s">
        <v>79</v>
      </c>
      <c r="C88" s="6" t="s">
        <v>29</v>
      </c>
      <c r="D88" s="6"/>
      <c r="E88" s="10"/>
      <c r="F88" s="87" t="str">
        <f>IF($L$2&gt;1,SUM(F76:F87),"")</f>
        <v/>
      </c>
      <c r="G88" s="87" t="str">
        <f t="shared" ref="G88:I88" si="21">IF($L$2&gt;1,SUM(G76:G87),"")</f>
        <v/>
      </c>
      <c r="H88" s="87" t="str">
        <f t="shared" si="21"/>
        <v/>
      </c>
      <c r="I88" s="87" t="str">
        <f t="shared" si="21"/>
        <v/>
      </c>
      <c r="Q88" s="48"/>
    </row>
    <row r="89" spans="1:17" ht="15.6">
      <c r="B89" s="8" t="s">
        <v>80</v>
      </c>
      <c r="C89" s="6" t="s">
        <v>41</v>
      </c>
      <c r="D89" s="6"/>
      <c r="E89" s="10"/>
      <c r="F89" s="89"/>
      <c r="G89" s="71"/>
      <c r="H89" s="71"/>
      <c r="I89" s="27"/>
      <c r="Q89" s="48"/>
    </row>
    <row r="90" spans="1:17" ht="15.6">
      <c r="B90" s="30" t="s">
        <v>42</v>
      </c>
      <c r="C90" s="72">
        <f>C43</f>
        <v>0.5</v>
      </c>
      <c r="D90" s="73" t="s">
        <v>43</v>
      </c>
      <c r="E90" s="74" t="str">
        <f>IF($L$2&gt;1,(IF($N$81&gt;25000,"25000",$N$81)+IF($N$82&gt;25000,"25000",$N$82)+IF($N$83&gt;25000,"25000",$N$83)+IF($N$84&gt;25000,"25000",$N$84)+$F$88-$F$81-$F$85-$F$87-$F$86),"")</f>
        <v/>
      </c>
      <c r="F90" s="110" t="str">
        <f>IF(L2&gt;1,((ROUND(((ROUND((F58*$E$72)+(F58),0))*$C$90),0)+(ROUND(((ROUND((F59*$E$72)+(F59),0))*$C$90),0)+(ROUND(((ROUND((F60*$E$72)+(F60),0))*$C$90),0)+(ROUND(((ROUND((F61*$E$72)+(F61),0))*$C$90),0)+(ROUND(((ROUND((F62*$E$72)+(F62),0))*$C$90),0)+(ROUND(((ROUND((F63*$E$72)+(F63),0))*$C$90),0)+(ROUND(((ROUND((F65*$E$72)+(F65),0))*$C$90),0)+(ROUND(((ROUND((F66*$E$72)+(F66),0))*$C$90),0)+(ROUND((((F74)+(F67))*$C$90),0))+(ROUND(((F68)*$C$90),0))+(ROUND(((ROUND((F69*$E$73)+(F69),0))*$C$90),0)+(ROUND(((F77)*$C$90),0))+(ROUND(((F78)*$C$90),0))+(ROUND(((F79)*$C$90),0))+(ROUND(((IF($N$81&gt;25000,"25000",$N$81)+IF($N$82&gt;25000,"25000",$N$82)+IF($N$83&gt;25000,"25000",$N$83)+IF($N$84&gt;25000,"25000",$N$84))*$C$90),0))+(ROUND(((F82)*$C$90),0))+(ROUND(((F83)*$C$90),0))+(ROUND(((F84)*$C$90),0)))))))))))),"")</f>
        <v/>
      </c>
      <c r="G90" s="70" t="str">
        <f>IF(L2&gt;1,((ROUND(((ROUND((G58*$E$72)+(G58),0))*$L$43),0)+(ROUND(((ROUND((G59*$E$72)+(G59),0))*$L$43),0)+(ROUND(((ROUND((G60*$E$72)+(G60),0))*$L$43),0)+(ROUND(((ROUND((G61*$E$72)+(G61),0))*$L$43),0)+(ROUND(((ROUND((G62*$E$72)+(G62),0))*$L$43),0)+(ROUND(((ROUND((G63*$E$72)+(G63),0))*$L$43),0)+(ROUND(((ROUND((G65*$E$72)+(G65),0))*$L$43),0)+(ROUND(((ROUND((G66*$E$72)+(G66),0))*$L$43),0)+(ROUND((((G74)+(G67))*$L$43),0))+(ROUND(((G68)*$L$43),0))+(ROUND(((ROUND((G69*$E$73)+(G69),0))*$L$43),0)+(ROUND(((G77)*$L$43),0))+(ROUND(((G78)*$L$43),0))+(ROUND(((G79)*$L$43),0))+(ROUND(((G82)*$L$43),0))+(ROUND(((G83)*$L$43),0))+(ROUND(((G84)*$L$43),0)))))))))))),"")</f>
        <v/>
      </c>
      <c r="H90" s="70" t="str">
        <f>IF(L2&gt;1,((ROUND(((ROUND((H58*$E$72)+(H58),0))*$L$43),0)+(ROUND(((ROUND((H59*$E$72)+(H59),0))*$L$43),0)+(ROUND(((ROUND((H60*$E$72)+(H60),0))*$L$43),0)+(ROUND(((ROUND((H61*$E$72)+(H61),0))*$L$43),0)+(ROUND(((ROUND((H62*$E$72)+(H62),0))*$L$43),0)+(ROUND(((ROUND((H63*$E$72)+(H63),0))*$L$43),0)+(ROUND(((ROUND((H65*$E$72)+(H65),0))*$L$43),0)+(ROUND(((ROUND((H66*$E$72)+(H66),0))*$L$43),0)+(ROUND((((H74)+(H67))*$L$43),0))+(ROUND(((H68)*$L$43),0))+(ROUND(((ROUND((H69*$E$73)+(H69),0))*$L$43),0)+(ROUND(((H77)*$L$43),0))+(ROUND(((H78)*$L$43),0))+(ROUND(((H79)*$L$43),0))+(ROUND(((H82)*$L$43),0))+(ROUND(((H83)*$L$43),0))+(ROUND(((H84)*$L$43),0)))))))))))),"")</f>
        <v/>
      </c>
      <c r="I90" s="27"/>
      <c r="J90" s="56"/>
      <c r="Q90" s="48"/>
    </row>
    <row r="91" spans="1:17" ht="15.6">
      <c r="A91" s="57"/>
      <c r="B91" s="30"/>
      <c r="C91" s="72"/>
      <c r="D91" s="73" t="s">
        <v>90</v>
      </c>
      <c r="E91" s="74"/>
      <c r="F91" s="89"/>
      <c r="G91" s="70">
        <v>0</v>
      </c>
      <c r="H91" s="71"/>
      <c r="I91" s="28"/>
      <c r="J91" s="62"/>
      <c r="K91" s="62"/>
      <c r="Q91" s="48"/>
    </row>
    <row r="92" spans="1:17" ht="16.2" thickBot="1">
      <c r="A92" s="57"/>
      <c r="B92" s="92" t="s">
        <v>98</v>
      </c>
      <c r="C92" s="93" t="s">
        <v>32</v>
      </c>
      <c r="D92" s="94"/>
      <c r="E92" s="94"/>
      <c r="F92" s="90" t="str">
        <f>IF($L$2&gt;1,SUM(F88:F91),"")</f>
        <v/>
      </c>
      <c r="G92" s="90" t="str">
        <f t="shared" ref="G92:I92" si="22">IF($L$2&gt;1,SUM(G88:G91),"")</f>
        <v/>
      </c>
      <c r="H92" s="90" t="str">
        <f t="shared" si="22"/>
        <v/>
      </c>
      <c r="I92" s="90" t="str">
        <f t="shared" si="22"/>
        <v/>
      </c>
      <c r="J92" s="62"/>
      <c r="K92" s="62"/>
      <c r="Q92" s="48"/>
    </row>
    <row r="93" spans="1:17" ht="15.6">
      <c r="A93" s="57"/>
      <c r="B93" s="57" t="s">
        <v>99</v>
      </c>
      <c r="D93" s="2"/>
      <c r="E93" s="2"/>
      <c r="F93" s="98"/>
      <c r="G93" s="98"/>
      <c r="H93" s="98"/>
      <c r="I93" s="98"/>
      <c r="J93" s="62"/>
      <c r="K93" s="62"/>
      <c r="Q93" s="48"/>
    </row>
    <row r="94" spans="1:17" ht="15.6">
      <c r="A94" s="57"/>
      <c r="B94" s="57"/>
      <c r="C94" s="57" t="s">
        <v>100</v>
      </c>
      <c r="D94" s="2"/>
      <c r="E94" s="2"/>
      <c r="F94" s="98"/>
      <c r="G94" s="98"/>
      <c r="H94" s="98"/>
      <c r="I94" s="98"/>
      <c r="J94" s="62"/>
      <c r="K94" s="62"/>
      <c r="Q94" s="48"/>
    </row>
    <row r="95" spans="1:17" ht="15.6">
      <c r="A95" s="57"/>
      <c r="B95" s="57"/>
      <c r="C95" s="57"/>
      <c r="D95" s="2"/>
      <c r="E95" s="2"/>
      <c r="F95" s="98"/>
      <c r="G95" s="98"/>
      <c r="H95" s="98"/>
      <c r="I95" s="98"/>
      <c r="J95" s="62"/>
      <c r="K95" s="62"/>
      <c r="Q95" s="48"/>
    </row>
    <row r="96" spans="1:17" ht="16.5" customHeight="1">
      <c r="A96" s="114" t="s">
        <v>16</v>
      </c>
      <c r="B96" s="114"/>
      <c r="C96" s="114"/>
      <c r="D96" s="114"/>
      <c r="E96" s="114"/>
      <c r="F96" s="114"/>
      <c r="G96" s="114"/>
      <c r="H96" s="114"/>
      <c r="I96" s="114"/>
      <c r="J96" s="114"/>
      <c r="K96" s="62"/>
      <c r="Q96" s="48"/>
    </row>
    <row r="97" spans="1:17" ht="16.5" customHeight="1">
      <c r="A97" s="111" t="s">
        <v>20</v>
      </c>
      <c r="B97" s="111"/>
      <c r="C97" s="111"/>
      <c r="D97" s="111"/>
      <c r="E97" s="111"/>
      <c r="F97" s="111"/>
      <c r="G97" s="111"/>
      <c r="H97" s="111"/>
      <c r="I97" s="111"/>
      <c r="J97" s="111"/>
      <c r="K97" s="97"/>
      <c r="Q97" s="48"/>
    </row>
    <row r="98" spans="1:17" ht="15.6">
      <c r="A98" s="111" t="s">
        <v>45</v>
      </c>
      <c r="B98" s="111"/>
      <c r="C98" s="111"/>
      <c r="D98" s="111"/>
      <c r="E98" s="111"/>
      <c r="F98" s="111"/>
      <c r="G98" s="111"/>
      <c r="H98" s="111"/>
      <c r="I98" s="111"/>
      <c r="J98" s="111"/>
      <c r="K98" s="97"/>
      <c r="Q98" s="48"/>
    </row>
    <row r="99" spans="1:17" ht="36.75" customHeight="1">
      <c r="C99" s="4" t="s">
        <v>22</v>
      </c>
      <c r="D99" s="78"/>
      <c r="E99" s="112" t="str">
        <f>IF($L$2&gt;2,E5,"")</f>
        <v/>
      </c>
      <c r="F99" s="112"/>
      <c r="G99" s="112"/>
      <c r="H99" s="112"/>
      <c r="I99" s="112"/>
      <c r="Q99" s="48"/>
    </row>
    <row r="100" spans="1:17" ht="15.6">
      <c r="B100" s="4"/>
      <c r="C100" s="44" t="s">
        <v>21</v>
      </c>
      <c r="E100" s="58" t="str">
        <f>IF($L$2&gt;2,E6,"")</f>
        <v/>
      </c>
      <c r="F100" s="58"/>
      <c r="G100" s="58"/>
      <c r="H100" s="58"/>
      <c r="I100" s="58"/>
      <c r="Q100" s="48"/>
    </row>
    <row r="101" spans="1:17">
      <c r="Q101" s="48"/>
    </row>
    <row r="102" spans="1:17" ht="13.8" thickBot="1">
      <c r="L102" s="42"/>
      <c r="Q102" s="48"/>
    </row>
    <row r="103" spans="1:17" ht="31.8" thickBot="1">
      <c r="B103" s="2"/>
      <c r="C103" s="2"/>
      <c r="D103" s="2"/>
      <c r="E103" s="2"/>
      <c r="F103" s="60" t="s">
        <v>23</v>
      </c>
      <c r="G103" s="60" t="s">
        <v>88</v>
      </c>
      <c r="H103" s="80" t="s">
        <v>93</v>
      </c>
      <c r="I103" s="80" t="s">
        <v>94</v>
      </c>
      <c r="L103" s="51"/>
      <c r="Q103" s="48"/>
    </row>
    <row r="104" spans="1:17" ht="15.6">
      <c r="B104" s="54" t="s">
        <v>0</v>
      </c>
      <c r="C104" s="61" t="s">
        <v>73</v>
      </c>
      <c r="D104" s="55"/>
      <c r="E104" s="55"/>
      <c r="F104" s="75"/>
      <c r="G104" s="75"/>
      <c r="H104" s="75"/>
      <c r="I104" s="52"/>
      <c r="L104" s="42"/>
      <c r="Q104" s="48"/>
    </row>
    <row r="105" spans="1:17" ht="15.6">
      <c r="B105" s="8"/>
      <c r="C105" s="9" t="s">
        <v>1</v>
      </c>
      <c r="D105" s="6" t="str">
        <f>IF(D11=""," ",D11)</f>
        <v xml:space="preserve"> </v>
      </c>
      <c r="E105" s="10"/>
      <c r="F105" s="70" t="str">
        <f>IF($L$2&gt;2,ROUND(SUM(F58+(F58*$L$10)),0),"")</f>
        <v/>
      </c>
      <c r="G105" s="70" t="str">
        <f t="shared" ref="G105:H105" si="23">IF($L$2&gt;2,ROUND(SUM(G58+(G58*$L$10)),0),"")</f>
        <v/>
      </c>
      <c r="H105" s="70" t="str">
        <f t="shared" si="23"/>
        <v/>
      </c>
      <c r="I105" s="27"/>
      <c r="L105" s="96"/>
      <c r="Q105" s="48"/>
    </row>
    <row r="106" spans="1:17" ht="15.6">
      <c r="B106" s="8"/>
      <c r="C106" s="9" t="s">
        <v>2</v>
      </c>
      <c r="D106" s="6" t="str">
        <f>IF(D12=""," ",D12)</f>
        <v xml:space="preserve"> </v>
      </c>
      <c r="E106" s="10"/>
      <c r="F106" s="70" t="str">
        <f t="shared" ref="F106:H106" si="24">IF($L$2&gt;2,ROUND(SUM(F59+(F59*$L$10)),0),"")</f>
        <v/>
      </c>
      <c r="G106" s="70" t="str">
        <f t="shared" si="24"/>
        <v/>
      </c>
      <c r="H106" s="70" t="str">
        <f t="shared" si="24"/>
        <v/>
      </c>
      <c r="I106" s="27"/>
      <c r="Q106" s="48"/>
    </row>
    <row r="107" spans="1:17" ht="15.6">
      <c r="B107" s="8"/>
      <c r="C107" s="9" t="s">
        <v>3</v>
      </c>
      <c r="D107" s="6" t="str">
        <f>IF(D13=""," ",D13)</f>
        <v xml:space="preserve"> </v>
      </c>
      <c r="E107" s="10"/>
      <c r="F107" s="70" t="str">
        <f t="shared" ref="F107:H107" si="25">IF($L$2&gt;2,ROUND(SUM(F60+(F60*$L$10)),0),"")</f>
        <v/>
      </c>
      <c r="G107" s="70" t="str">
        <f t="shared" si="25"/>
        <v/>
      </c>
      <c r="H107" s="70" t="str">
        <f t="shared" si="25"/>
        <v/>
      </c>
      <c r="I107" s="27"/>
      <c r="Q107" s="48"/>
    </row>
    <row r="108" spans="1:17" ht="15.6">
      <c r="B108" s="8"/>
      <c r="C108" s="9" t="s">
        <v>4</v>
      </c>
      <c r="D108" s="6" t="str">
        <f>IF(D14=""," ",D14)</f>
        <v xml:space="preserve"> </v>
      </c>
      <c r="E108" s="10"/>
      <c r="F108" s="70" t="str">
        <f t="shared" ref="F108:H108" si="26">IF($L$2&gt;2,ROUND(SUM(F61+(F61*$L$10)),0),"")</f>
        <v/>
      </c>
      <c r="G108" s="70" t="str">
        <f t="shared" si="26"/>
        <v/>
      </c>
      <c r="H108" s="70" t="str">
        <f t="shared" si="26"/>
        <v/>
      </c>
      <c r="I108" s="27"/>
      <c r="Q108" s="48"/>
    </row>
    <row r="109" spans="1:17" ht="15.6">
      <c r="B109" s="8"/>
      <c r="C109" s="9" t="s">
        <v>24</v>
      </c>
      <c r="D109" s="6" t="str">
        <f>IF(D15=""," ",D15)</f>
        <v xml:space="preserve"> </v>
      </c>
      <c r="E109" s="10"/>
      <c r="F109" s="70" t="str">
        <f t="shared" ref="F109:H109" si="27">IF($L$2&gt;2,ROUND(SUM(F62+(F62*$L$10)),0),"")</f>
        <v/>
      </c>
      <c r="G109" s="70" t="str">
        <f t="shared" si="27"/>
        <v/>
      </c>
      <c r="H109" s="70" t="str">
        <f t="shared" si="27"/>
        <v/>
      </c>
      <c r="I109" s="27"/>
      <c r="Q109" s="48"/>
    </row>
    <row r="110" spans="1:17" ht="15.6">
      <c r="B110" s="8"/>
      <c r="C110" s="9" t="s">
        <v>25</v>
      </c>
      <c r="D110" s="6" t="s">
        <v>48</v>
      </c>
      <c r="E110" s="10"/>
      <c r="F110" s="70" t="str">
        <f t="shared" ref="F110:H110" si="28">IF($L$2&gt;2,ROUND(SUM(F63+(F63*$L$10)),0),"")</f>
        <v/>
      </c>
      <c r="G110" s="70" t="str">
        <f t="shared" si="28"/>
        <v/>
      </c>
      <c r="H110" s="70" t="str">
        <f t="shared" si="28"/>
        <v/>
      </c>
      <c r="I110" s="27"/>
      <c r="Q110" s="48"/>
    </row>
    <row r="111" spans="1:17" ht="15.6">
      <c r="B111" s="8" t="s">
        <v>33</v>
      </c>
      <c r="C111" s="58" t="s">
        <v>74</v>
      </c>
      <c r="D111" s="6"/>
      <c r="E111" s="10"/>
      <c r="F111" s="69"/>
      <c r="G111" s="69"/>
      <c r="H111" s="69"/>
      <c r="I111" s="27"/>
      <c r="Q111" s="48"/>
    </row>
    <row r="112" spans="1:17" ht="15.6">
      <c r="B112" s="8"/>
      <c r="C112" s="67" t="s">
        <v>1</v>
      </c>
      <c r="D112" s="6" t="s">
        <v>30</v>
      </c>
      <c r="E112" s="10"/>
      <c r="F112" s="70" t="str">
        <f>IF($L$2&gt;2,ROUND(SUM(F65+(F65*$L$10)),0),"")</f>
        <v/>
      </c>
      <c r="G112" s="70" t="str">
        <f>IF($L$2&gt;2,ROUND(SUM(G65+(G65*$L$10)),0),"")</f>
        <v/>
      </c>
      <c r="H112" s="70" t="str">
        <f>IF($L$2&gt;2,ROUND(SUM(H65+(H65*$L$10)),0),"")</f>
        <v/>
      </c>
      <c r="I112" s="27"/>
      <c r="Q112" s="48"/>
    </row>
    <row r="113" spans="2:18" ht="15.6">
      <c r="B113" s="8"/>
      <c r="C113" s="9" t="s">
        <v>2</v>
      </c>
      <c r="D113" s="6" t="s">
        <v>31</v>
      </c>
      <c r="E113" s="10"/>
      <c r="F113" s="70" t="str">
        <f>IF($L$2&gt;2,ROUND(SUM(F66+(F66*$L$10)),0),"")</f>
        <v/>
      </c>
      <c r="G113" s="70" t="str">
        <f>IF($L$2&gt;2,ROUND(SUM(G66+(G66*$L$10)),0),"")</f>
        <v/>
      </c>
      <c r="H113" s="70" t="str">
        <f t="shared" ref="H113" si="29">IF($L$2&gt;2,ROUND(SUM(H66+(H66*$L$10)),0),"")</f>
        <v/>
      </c>
      <c r="I113" s="21">
        <v>0</v>
      </c>
      <c r="Q113" s="48"/>
    </row>
    <row r="114" spans="2:18" ht="15.6">
      <c r="B114" s="8"/>
      <c r="C114" s="9" t="s">
        <v>3</v>
      </c>
      <c r="D114" s="6" t="s">
        <v>26</v>
      </c>
      <c r="E114" s="5"/>
      <c r="F114" s="70" t="str">
        <f>IF($L$2&gt;2,ROUND(SUM(F67+(F67*$L$10)),0),"")</f>
        <v/>
      </c>
      <c r="G114" s="69"/>
      <c r="H114" s="70" t="str">
        <f t="shared" ref="H114" si="30">IF($L$2&gt;2,ROUND(SUM(H67+(H67*$L$10)),0),"")</f>
        <v/>
      </c>
      <c r="I114" s="27"/>
      <c r="Q114" s="48"/>
    </row>
    <row r="115" spans="2:18" ht="15.6">
      <c r="B115" s="8"/>
      <c r="C115" s="9" t="s">
        <v>4</v>
      </c>
      <c r="D115" s="6" t="s">
        <v>27</v>
      </c>
      <c r="E115" s="6"/>
      <c r="F115" s="70" t="str">
        <f>IF($L$2&gt;2,ROUND(SUM(F68+(F68*$L$10)),0),"")</f>
        <v/>
      </c>
      <c r="G115" s="70" t="str">
        <f>IF($L$2&gt;2,ROUND(SUM(G68+(G68*$L$10)),0),"")</f>
        <v/>
      </c>
      <c r="H115" s="70" t="str">
        <f t="shared" ref="H115" si="31">IF($L$2&gt;2,ROUND(SUM(H68+(H68*$L$10)),0),"")</f>
        <v/>
      </c>
      <c r="I115" s="27"/>
      <c r="Q115" s="48"/>
    </row>
    <row r="116" spans="2:18" ht="15.6">
      <c r="B116" s="7"/>
      <c r="C116" s="59" t="s">
        <v>24</v>
      </c>
      <c r="D116" s="5" t="s">
        <v>81</v>
      </c>
      <c r="E116" s="5"/>
      <c r="F116" s="70">
        <v>0</v>
      </c>
      <c r="G116" s="70">
        <v>0</v>
      </c>
      <c r="H116" s="70">
        <v>0</v>
      </c>
      <c r="I116" s="27"/>
      <c r="Q116" s="48"/>
    </row>
    <row r="117" spans="2:18" ht="15.6">
      <c r="B117" s="8" t="s">
        <v>5</v>
      </c>
      <c r="C117" s="6" t="s">
        <v>37</v>
      </c>
      <c r="D117" s="6"/>
      <c r="E117" s="5"/>
      <c r="F117" s="70" t="str">
        <f>IF($L$2&gt;2,SUM(F105:F116),"")</f>
        <v/>
      </c>
      <c r="G117" s="70" t="str">
        <f t="shared" ref="G117:I117" si="32">IF($L$2&gt;2,SUM(G105:G116),"")</f>
        <v/>
      </c>
      <c r="H117" s="70" t="str">
        <f t="shared" si="32"/>
        <v/>
      </c>
      <c r="I117" s="70" t="str">
        <f t="shared" si="32"/>
        <v/>
      </c>
      <c r="M117" s="100" t="s">
        <v>109</v>
      </c>
      <c r="Q117" s="100" t="s">
        <v>110</v>
      </c>
    </row>
    <row r="118" spans="2:18" ht="31.8">
      <c r="B118" s="8" t="s">
        <v>6</v>
      </c>
      <c r="C118" s="6" t="s">
        <v>77</v>
      </c>
      <c r="D118" s="6"/>
      <c r="E118" s="53"/>
      <c r="F118" s="69"/>
      <c r="G118" s="69"/>
      <c r="H118" s="69"/>
      <c r="I118" s="27"/>
      <c r="L118" s="99" t="s">
        <v>104</v>
      </c>
      <c r="M118" s="100" t="s">
        <v>108</v>
      </c>
      <c r="N118" s="101"/>
      <c r="P118" s="99" t="s">
        <v>104</v>
      </c>
      <c r="Q118" s="100" t="s">
        <v>108</v>
      </c>
    </row>
    <row r="119" spans="2:18" ht="15.6">
      <c r="B119" s="8"/>
      <c r="C119" s="6" t="s">
        <v>83</v>
      </c>
      <c r="D119" s="6"/>
      <c r="E119" s="66">
        <v>0.4</v>
      </c>
      <c r="F119" s="70" t="str">
        <f>IF($L$2&gt;2,ROUND(($E$119)*SUM(F105:F113),0),"")</f>
        <v/>
      </c>
      <c r="G119" s="70" t="str">
        <f t="shared" ref="G119:H119" si="33">IF($L$2&gt;2,ROUND(($E$119)*SUM(G105:G113),0),"")</f>
        <v/>
      </c>
      <c r="H119" s="70" t="str">
        <f t="shared" si="33"/>
        <v/>
      </c>
      <c r="I119" s="21">
        <v>0</v>
      </c>
      <c r="L119" s="102" t="s">
        <v>105</v>
      </c>
      <c r="M119" s="103" t="str">
        <f>IF($L$2&gt;2,M70,"")</f>
        <v/>
      </c>
      <c r="N119" s="104" t="str">
        <f>IF($L$2&gt;2,(M119/12)*2249,"")</f>
        <v/>
      </c>
      <c r="P119" s="102" t="s">
        <v>105</v>
      </c>
      <c r="Q119" s="103" t="str">
        <f>IF($L$2&gt;2,Q70,"")</f>
        <v/>
      </c>
      <c r="R119" s="104" t="str">
        <f>IF($L$2&gt;2,(Q119/12)*2249,"")</f>
        <v/>
      </c>
    </row>
    <row r="120" spans="2:18" ht="15.6">
      <c r="B120" s="8"/>
      <c r="C120" s="6" t="s">
        <v>84</v>
      </c>
      <c r="D120" s="6"/>
      <c r="E120" s="63">
        <v>7.6499999999999999E-2</v>
      </c>
      <c r="F120" s="70" t="str">
        <f>IF($L$2&gt;2,ROUND($E$120*F116,0),"")</f>
        <v/>
      </c>
      <c r="G120" s="70" t="str">
        <f t="shared" ref="G120:H120" si="34">IF($L$2&gt;2,ROUND($E$120*G116,0),"")</f>
        <v/>
      </c>
      <c r="H120" s="70" t="str">
        <f t="shared" si="34"/>
        <v/>
      </c>
      <c r="I120" s="27"/>
      <c r="L120" s="102" t="s">
        <v>106</v>
      </c>
      <c r="M120" s="103" t="str">
        <f>IF($L$2&gt;2,M71,"")</f>
        <v/>
      </c>
      <c r="N120" s="104" t="str">
        <f>IF($L$2&gt;2,(M120/9)*1731,"")</f>
        <v/>
      </c>
      <c r="P120" s="102" t="s">
        <v>106</v>
      </c>
      <c r="Q120" s="103" t="str">
        <f>IF($L$2&gt;2,Q71,"")</f>
        <v/>
      </c>
      <c r="R120" s="104" t="str">
        <f>IF($L$2&gt;2,(Q120/9)*1731,"")</f>
        <v/>
      </c>
    </row>
    <row r="121" spans="2:18" ht="15.6">
      <c r="B121" s="8"/>
      <c r="C121" s="6" t="s">
        <v>26</v>
      </c>
      <c r="D121" s="6"/>
      <c r="E121" s="63"/>
      <c r="F121" s="70" t="str">
        <f>N122</f>
        <v/>
      </c>
      <c r="G121" s="107"/>
      <c r="H121" s="70" t="str">
        <f>R122</f>
        <v/>
      </c>
      <c r="I121" s="27"/>
      <c r="L121" s="102" t="s">
        <v>107</v>
      </c>
      <c r="M121" s="103" t="str">
        <f>IF($L$2&gt;2,M72,"")</f>
        <v/>
      </c>
      <c r="N121" s="104" t="str">
        <f>IF($L$2&gt;2,(M121/3)*518,"")</f>
        <v/>
      </c>
      <c r="P121" s="102" t="s">
        <v>107</v>
      </c>
      <c r="Q121" s="103" t="str">
        <f>IF($L$2&gt;2,Q72,"")</f>
        <v/>
      </c>
      <c r="R121" s="104" t="str">
        <f>IF($L$2&gt;2,(Q121/3)*518,"")</f>
        <v/>
      </c>
    </row>
    <row r="122" spans="2:18" ht="15.6">
      <c r="B122" s="8" t="s">
        <v>7</v>
      </c>
      <c r="C122" s="6" t="s">
        <v>78</v>
      </c>
      <c r="D122" s="6"/>
      <c r="E122" s="63"/>
      <c r="F122" s="70" t="str">
        <f>IF($L$2&gt;2,SUM(F119:F121),"")</f>
        <v/>
      </c>
      <c r="G122" s="70" t="str">
        <f t="shared" ref="G122:I122" si="35">IF($L$2&gt;2,SUM(G119:G121),"")</f>
        <v/>
      </c>
      <c r="H122" s="70" t="str">
        <f t="shared" si="35"/>
        <v/>
      </c>
      <c r="I122" s="70" t="str">
        <f t="shared" si="35"/>
        <v/>
      </c>
      <c r="L122" s="101"/>
      <c r="M122" s="101"/>
      <c r="N122" s="104" t="str">
        <f>IF($L$2&gt;2,SUM(N119:N121),"")</f>
        <v/>
      </c>
      <c r="R122" s="104" t="str">
        <f>IF($L$2&gt;2,SUM(R119:R121),"")</f>
        <v/>
      </c>
    </row>
    <row r="123" spans="2:18" ht="15.6">
      <c r="B123" s="8" t="s">
        <v>8</v>
      </c>
      <c r="C123" s="5" t="s">
        <v>38</v>
      </c>
      <c r="D123" s="6"/>
      <c r="E123" s="10"/>
      <c r="F123" s="70" t="str">
        <f>IF($L$2&gt;2,SUM(F117+F122),"")</f>
        <v/>
      </c>
      <c r="G123" s="70" t="str">
        <f t="shared" ref="G123:I123" si="36">IF($L$2&gt;2,SUM(G117+G122),"")</f>
        <v/>
      </c>
      <c r="H123" s="70" t="str">
        <f t="shared" si="36"/>
        <v/>
      </c>
      <c r="I123" s="70" t="str">
        <f t="shared" si="36"/>
        <v/>
      </c>
      <c r="Q123" s="48"/>
    </row>
    <row r="124" spans="2:18" ht="15.6">
      <c r="B124" s="7" t="s">
        <v>9</v>
      </c>
      <c r="C124" s="5" t="s">
        <v>28</v>
      </c>
      <c r="D124" s="6"/>
      <c r="E124" s="12"/>
      <c r="F124" s="70" t="str">
        <f>IF($L$2&gt;2,ROUND(SUM(F77+(F77*$L$13)),0),"")</f>
        <v/>
      </c>
      <c r="G124" s="70" t="str">
        <f t="shared" ref="G124:H124" si="37">IF($L$2&gt;2,ROUND(SUM(G77+(G77*$L$13)),0),"")</f>
        <v/>
      </c>
      <c r="H124" s="70" t="str">
        <f t="shared" si="37"/>
        <v/>
      </c>
      <c r="I124" s="21">
        <v>0</v>
      </c>
      <c r="Q124" s="48"/>
    </row>
    <row r="125" spans="2:18" ht="15.6">
      <c r="B125" s="13" t="s">
        <v>10</v>
      </c>
      <c r="C125" s="14" t="s">
        <v>19</v>
      </c>
      <c r="D125" s="2"/>
      <c r="E125" s="10"/>
      <c r="F125" s="70" t="str">
        <f>IF($L$2&gt;2,ROUND(SUM(F78+(F78*$L$13)),0),"")</f>
        <v/>
      </c>
      <c r="G125" s="70" t="str">
        <f t="shared" ref="G125:H125" si="38">IF($L$2&gt;2,ROUND(SUM(G78+(G78*$L$13)),0),"")</f>
        <v/>
      </c>
      <c r="H125" s="70" t="str">
        <f t="shared" si="38"/>
        <v/>
      </c>
      <c r="I125" s="21">
        <v>0</v>
      </c>
      <c r="N125" s="39" t="s">
        <v>61</v>
      </c>
      <c r="Q125" s="48"/>
    </row>
    <row r="126" spans="2:18" ht="15.6">
      <c r="B126" s="8" t="s">
        <v>11</v>
      </c>
      <c r="C126" s="15" t="s">
        <v>34</v>
      </c>
      <c r="D126" s="6"/>
      <c r="E126" s="10"/>
      <c r="F126" s="70" t="str">
        <f>IF($L$2&gt;2,ROUND(SUM(F79+(F79*$L$13)),0),"")</f>
        <v/>
      </c>
      <c r="G126" s="70" t="str">
        <f t="shared" ref="G126:H126" si="39">IF($L$2&gt;2,ROUND(SUM(G79+(G79*$L$13)),0),"")</f>
        <v/>
      </c>
      <c r="H126" s="70" t="str">
        <f t="shared" si="39"/>
        <v/>
      </c>
      <c r="I126" s="21">
        <v>0</v>
      </c>
      <c r="L126" s="40" t="s">
        <v>55</v>
      </c>
      <c r="N126" s="39" t="s">
        <v>62</v>
      </c>
      <c r="Q126" s="48"/>
    </row>
    <row r="127" spans="2:18" ht="15.6">
      <c r="B127" s="8" t="s">
        <v>12</v>
      </c>
      <c r="C127" s="15" t="s">
        <v>35</v>
      </c>
      <c r="D127" s="6"/>
      <c r="E127" s="10"/>
      <c r="F127" s="71"/>
      <c r="G127" s="71"/>
      <c r="H127" s="71"/>
      <c r="I127" s="28"/>
      <c r="L127" s="40" t="s">
        <v>56</v>
      </c>
      <c r="M127" s="38" t="s">
        <v>58</v>
      </c>
      <c r="N127" s="39" t="s">
        <v>63</v>
      </c>
      <c r="Q127" s="48"/>
    </row>
    <row r="128" spans="2:18" ht="15.6">
      <c r="B128" s="22"/>
      <c r="C128" s="15" t="s">
        <v>39</v>
      </c>
      <c r="D128" s="6"/>
      <c r="E128" s="10"/>
      <c r="F128" s="70" t="str">
        <f>IF($L$2&gt;2,SUM(M128:M131),"")</f>
        <v/>
      </c>
      <c r="G128" s="70">
        <v>0</v>
      </c>
      <c r="H128" s="70">
        <v>0</v>
      </c>
      <c r="I128" s="28"/>
      <c r="L128" s="32" t="str">
        <f>IF($L$2&gt;2,$L$36,"Subcontract 1:")</f>
        <v>Subcontract 1:</v>
      </c>
      <c r="M128" s="35"/>
      <c r="N128" s="41">
        <f>IF(M128+N36+N81&gt;=25000,25000-(N36+N81),M128)</f>
        <v>0</v>
      </c>
      <c r="Q128" s="48"/>
    </row>
    <row r="129" spans="1:17" ht="15.6">
      <c r="B129" s="8"/>
      <c r="C129" s="15" t="s">
        <v>40</v>
      </c>
      <c r="D129" s="6"/>
      <c r="E129" s="10"/>
      <c r="F129" s="70" t="str">
        <f>IF($L$2&gt;2,ROUND(SUM(F82+(F82*$L$13)),0),"")</f>
        <v/>
      </c>
      <c r="G129" s="70" t="str">
        <f t="shared" ref="G129:H129" si="40">IF($L$2&gt;2,ROUND(SUM(G82+(G82*$L$13)),0),"")</f>
        <v/>
      </c>
      <c r="H129" s="70" t="str">
        <f t="shared" si="40"/>
        <v/>
      </c>
      <c r="I129" s="21">
        <v>0</v>
      </c>
      <c r="L129" s="33" t="str">
        <f>IF($L$2&gt;2,$L$37,"Subcontract 2:")</f>
        <v>Subcontract 2:</v>
      </c>
      <c r="M129" s="36"/>
      <c r="N129" s="41">
        <f>IF(M129+N37+N82&gt;=25000,25000-(N37+N82),M129)</f>
        <v>0</v>
      </c>
      <c r="Q129" s="48"/>
    </row>
    <row r="130" spans="1:17" ht="15.6">
      <c r="B130" s="8"/>
      <c r="C130" s="15" t="s">
        <v>76</v>
      </c>
      <c r="D130" s="6"/>
      <c r="E130" s="10"/>
      <c r="F130" s="70" t="str">
        <f>IF($L$2&gt;2,ROUND(SUM(F83+(F83*$L$13)),0),"")</f>
        <v/>
      </c>
      <c r="G130" s="70" t="str">
        <f t="shared" ref="G130:H130" si="41">IF($L$2&gt;2,ROUND(SUM(G83+(G83*$L$13)),0),"")</f>
        <v/>
      </c>
      <c r="H130" s="70" t="str">
        <f t="shared" si="41"/>
        <v/>
      </c>
      <c r="I130" s="21">
        <v>0</v>
      </c>
      <c r="L130" s="33" t="str">
        <f>IF($L$2&gt;2,$L$38,"Subcontract 3:")</f>
        <v>Subcontract 3:</v>
      </c>
      <c r="M130" s="36"/>
      <c r="N130" s="41">
        <f>IF(M130+N38+N83&gt;=25000,25000-(N38+N83),M130)</f>
        <v>0</v>
      </c>
      <c r="Q130" s="48"/>
    </row>
    <row r="131" spans="1:17" ht="15.6">
      <c r="B131" s="8" t="s">
        <v>13</v>
      </c>
      <c r="C131" s="15" t="s">
        <v>36</v>
      </c>
      <c r="D131" s="6"/>
      <c r="E131" s="10"/>
      <c r="F131" s="70" t="str">
        <f>IF($L$2&gt;2,ROUND(SUM(F84+(F84*$L$13)),0),"")</f>
        <v/>
      </c>
      <c r="G131" s="70" t="str">
        <f t="shared" ref="G131:H131" si="42">IF($L$2&gt;2,ROUND(SUM(G84+(G84*$L$13)),0),"")</f>
        <v/>
      </c>
      <c r="H131" s="70" t="str">
        <f t="shared" si="42"/>
        <v/>
      </c>
      <c r="I131" s="21">
        <v>0</v>
      </c>
      <c r="L131" s="34" t="str">
        <f>IF($L$2&gt;2,$L$39,"Subcontract 4:")</f>
        <v>Subcontract 4:</v>
      </c>
      <c r="M131" s="37"/>
      <c r="N131" s="41">
        <f>IF(M131+N39+N84&gt;=25000,25000-(N39+N84),M131)</f>
        <v>0</v>
      </c>
      <c r="Q131" s="48"/>
    </row>
    <row r="132" spans="1:17" ht="15.6">
      <c r="B132" s="8" t="s">
        <v>14</v>
      </c>
      <c r="C132" s="6" t="s">
        <v>18</v>
      </c>
      <c r="D132" s="6"/>
      <c r="E132" s="10"/>
      <c r="F132" s="70">
        <v>0</v>
      </c>
      <c r="G132" s="70">
        <v>0</v>
      </c>
      <c r="H132" s="70">
        <v>0</v>
      </c>
      <c r="I132" s="21">
        <v>0</v>
      </c>
      <c r="Q132" s="48"/>
    </row>
    <row r="133" spans="1:17" ht="15.6">
      <c r="B133" s="8" t="s">
        <v>15</v>
      </c>
      <c r="C133" s="6" t="s">
        <v>97</v>
      </c>
      <c r="D133" s="6"/>
      <c r="E133" s="10"/>
      <c r="F133" s="70">
        <v>0</v>
      </c>
      <c r="G133" s="70">
        <v>0</v>
      </c>
      <c r="H133" s="70">
        <v>0</v>
      </c>
      <c r="I133" s="21">
        <v>0</v>
      </c>
      <c r="Q133" s="48"/>
    </row>
    <row r="134" spans="1:17" ht="15.6">
      <c r="B134" s="8" t="s">
        <v>75</v>
      </c>
      <c r="C134" s="58" t="s">
        <v>96</v>
      </c>
      <c r="D134" s="68"/>
      <c r="E134" s="95">
        <v>0.38</v>
      </c>
      <c r="F134" s="70" t="str">
        <f>IF($L$2&gt;2,F114*E134,"")</f>
        <v/>
      </c>
      <c r="G134" s="71"/>
      <c r="H134" s="70" t="str">
        <f>IF($L$2&gt;2,H114*E134,"")</f>
        <v/>
      </c>
      <c r="I134" s="28"/>
      <c r="Q134" s="48"/>
    </row>
    <row r="135" spans="1:17" ht="15.6">
      <c r="B135" s="11" t="s">
        <v>79</v>
      </c>
      <c r="C135" s="2" t="s">
        <v>29</v>
      </c>
      <c r="D135" s="2"/>
      <c r="E135" s="16"/>
      <c r="F135" s="70" t="str">
        <f>IF($L$2&gt;2,SUM(F123:F134),"")</f>
        <v/>
      </c>
      <c r="G135" s="70" t="str">
        <f>IF($L$2&gt;2,SUM(G123:G134),"")</f>
        <v/>
      </c>
      <c r="H135" s="70" t="str">
        <f>IF($L$2&gt;2,SUM(H123:H134),"")</f>
        <v/>
      </c>
      <c r="I135" s="21" t="str">
        <f>IF($L$2&gt;2,SUM(I123:I134),"")</f>
        <v/>
      </c>
      <c r="Q135" s="48"/>
    </row>
    <row r="136" spans="1:17" ht="15.6">
      <c r="B136" s="8" t="s">
        <v>80</v>
      </c>
      <c r="C136" s="6" t="s">
        <v>41</v>
      </c>
      <c r="D136" s="6"/>
      <c r="E136" s="2"/>
      <c r="F136" s="71"/>
      <c r="G136" s="71"/>
      <c r="H136" s="71"/>
      <c r="I136" s="28"/>
      <c r="Q136" s="48"/>
    </row>
    <row r="137" spans="1:17" ht="15.6">
      <c r="A137" s="57"/>
      <c r="B137" s="30" t="s">
        <v>42</v>
      </c>
      <c r="C137" s="23">
        <f>C43</f>
        <v>0.5</v>
      </c>
      <c r="D137" s="65" t="s">
        <v>43</v>
      </c>
      <c r="E137" s="24" t="e">
        <f>IF($N$128&gt;25000,"25000",$N$128)+IF($N$129&gt;25000,"25000",$N$129)+IF($N$130&gt;25000,"25000",$N$130)+IF($N$131&gt;25000,"25000",$N$131)+$F$135-$F$128-$F$132-$F$134-$F$133</f>
        <v>#VALUE!</v>
      </c>
      <c r="F137" s="70" t="str">
        <f>IF(L2&gt;2,((ROUND(((ROUND((F105*$E$119)+(F105),0))*$C$137),0)+(ROUND(((ROUND((F106*$E$119)+(F106),0))*$C$137),0)+(ROUND(((ROUND((F107*$E$119)+(F107),0))*$C$137),0)+(ROUND(((ROUND((F108*$E$119)+(F108),0))*$C$137),0)+(ROUND(((ROUND((F109*$E$119)+(F109),0))*$C$137),0)+(ROUND(((ROUND((F110*$E$119)+(F110),0))*$C$137),0)+(ROUND(((ROUND((F112*$E$119)+(F112),0))*$C$137),0)+(ROUND(((ROUND((F113*$E$119)+(F113),0))*$C$137),0)+(ROUND((((F121)+(F114))*$C$137),0))+(ROUND(((F115)*$C$137),0))+(ROUND(((ROUND((F116*$E$120)+(F116),0))*$C$137),0)+(ROUND(((F124)*$C$137),0))+(ROUND(((F125)*$C$137),0))+(ROUND(((F126)*$C$137),0))+(ROUND(((IF($N$128&gt;25000,"25000",$N$128)+IF($N$129&gt;25000,"25000",$N$129)+IF($N$130&gt;25000,"25000",$N$130)+IF($N$131&gt;25000,"25000",$N$131))*$C$137),0))+(ROUND(((F129)*$C$137),0))+(ROUND(((F130)*$C$137),0))+(ROUND(((F131)*$C$137),0)))))))))))),"")</f>
        <v/>
      </c>
      <c r="G137" s="70" t="str">
        <f>IF(L2&gt;2,((ROUND(((ROUND((G105*$E$119)+(G105),0))*$L$43),0)+(ROUND(((ROUND((G106*$E$119)+(G106),0))*$L$43),0)+(ROUND(((ROUND((G107*$E$119)+(G107),0))*$L$43),0)+(ROUND(((ROUND((G108*$E$119)+(G108),0))*$L$43),0)+(ROUND(((ROUND((G109*$E$119)+(G109),0))*$L$43),0)+(ROUND(((ROUND((G110*$E$119)+(G110),0))*$L$43),0)+(ROUND(((ROUND((G112*$E$119)+(G112),0))*$L$43),0)+(ROUND(((ROUND((G113*$E$119)+(G113),0))*$L$43),0)+(ROUND((((G121)+(G114))*$L$43),0))+(ROUND(((G115)*$L$43),0))+(ROUND(((ROUND((G116*$E$120)+(G116),0))*$L$43),0)+(ROUND(((G124)*$L$43),0))+(ROUND(((G125)*$L$43),0))+(ROUND(((G126)*$L$43),0))+(ROUND(((G129)*$L$43),0))+(ROUND(((G130)*$L$43),0))+(ROUND(((G131)*$L$43),0)))))))))))),"")</f>
        <v/>
      </c>
      <c r="H137" s="70" t="str">
        <f>IF(L2&gt;2,((ROUND(((ROUND((H105*$E$119)+(H105),0))*$L$43),0)+(ROUND(((ROUND((H106*$E$119)+(H106),0))*$L$43),0)+(ROUND(((ROUND((H107*$E$119)+(H107),0))*$L$43),0)+(ROUND(((ROUND((H108*$E$119)+(H108),0))*$L$43),0)+(ROUND(((ROUND((H109*$E$119)+(H109),0))*$L$43),0)+(ROUND(((ROUND((H110*$E$119)+(H110),0))*$L$43),0)+(ROUND(((ROUND((H112*$E$119)+(H112),0))*$L$43),0)+(ROUND(((ROUND((H113*$E$119)+(H113),0))*$L$43),0)+(ROUND((((H121)+(H114))*$L$43),0))+(ROUND(((H115)*$L$43),0))+(ROUND(((ROUND((H116*$E$120)+(H116),0))*$L$43),0)+(ROUND(((H124)*$L$43),0))+(ROUND(((H125)*$L$43),0))+(ROUND(((H126)*$L$43),0))+(ROUND(((H129)*$L$43),0))+(ROUND(((H130)*$L$43),0))+(ROUND(((H131)*$L$43),0)))))))))))),"")</f>
        <v/>
      </c>
      <c r="I137" s="28"/>
      <c r="J137" s="56"/>
      <c r="Q137" s="48"/>
    </row>
    <row r="138" spans="1:17" ht="15.6">
      <c r="A138" s="57"/>
      <c r="B138" s="30"/>
      <c r="C138" s="72"/>
      <c r="D138" s="73" t="s">
        <v>90</v>
      </c>
      <c r="E138" s="74"/>
      <c r="F138" s="71"/>
      <c r="G138" s="70">
        <v>0</v>
      </c>
      <c r="H138" s="71"/>
      <c r="I138" s="28"/>
      <c r="J138" s="56"/>
      <c r="Q138" s="48"/>
    </row>
    <row r="139" spans="1:17" ht="16.2" thickBot="1">
      <c r="A139" s="57"/>
      <c r="B139" s="29" t="s">
        <v>98</v>
      </c>
      <c r="C139" s="17" t="s">
        <v>32</v>
      </c>
      <c r="D139" s="18"/>
      <c r="E139" s="19"/>
      <c r="F139" s="77" t="str">
        <f>IF($L$2&gt;2,SUM(F135:F138),"")</f>
        <v/>
      </c>
      <c r="G139" s="77" t="str">
        <f t="shared" ref="G139:I139" si="43">IF($L$2&gt;2,SUM(G135:G138),"")</f>
        <v/>
      </c>
      <c r="H139" s="77" t="str">
        <f t="shared" si="43"/>
        <v/>
      </c>
      <c r="I139" s="77" t="str">
        <f t="shared" si="43"/>
        <v/>
      </c>
      <c r="J139" s="62"/>
      <c r="K139" s="62"/>
      <c r="Q139" s="48"/>
    </row>
    <row r="140" spans="1:17" ht="15.6">
      <c r="A140" s="57"/>
      <c r="B140" s="57" t="s">
        <v>99</v>
      </c>
      <c r="D140" s="2"/>
      <c r="E140" s="2"/>
      <c r="F140" s="98"/>
      <c r="G140" s="98"/>
      <c r="H140" s="98"/>
      <c r="I140" s="98"/>
      <c r="J140" s="62"/>
      <c r="K140" s="62"/>
      <c r="Q140" s="48"/>
    </row>
    <row r="141" spans="1:17" ht="15.6">
      <c r="A141" s="57"/>
      <c r="B141" s="57"/>
      <c r="C141" s="57" t="s">
        <v>100</v>
      </c>
      <c r="D141" s="2"/>
      <c r="E141" s="2"/>
      <c r="F141" s="98"/>
      <c r="G141" s="98"/>
      <c r="H141" s="98"/>
      <c r="I141" s="98"/>
      <c r="J141" s="62"/>
      <c r="K141" s="62"/>
      <c r="Q141" s="48"/>
    </row>
    <row r="142" spans="1:17" ht="15.6">
      <c r="A142" s="57"/>
      <c r="B142" s="57"/>
      <c r="C142" s="57"/>
      <c r="D142" s="2"/>
      <c r="E142" s="2"/>
      <c r="F142" s="98"/>
      <c r="G142" s="98"/>
      <c r="H142" s="98"/>
      <c r="I142" s="98"/>
      <c r="J142" s="62"/>
      <c r="K142" s="62"/>
      <c r="Q142" s="48"/>
    </row>
    <row r="143" spans="1:17" ht="16.5" customHeight="1">
      <c r="A143" s="114" t="s">
        <v>16</v>
      </c>
      <c r="B143" s="114"/>
      <c r="C143" s="114"/>
      <c r="D143" s="114"/>
      <c r="E143" s="114"/>
      <c r="F143" s="114"/>
      <c r="G143" s="114"/>
      <c r="H143" s="114"/>
      <c r="I143" s="114"/>
      <c r="J143" s="114"/>
      <c r="K143" s="97"/>
      <c r="Q143" s="48"/>
    </row>
    <row r="144" spans="1:17" ht="16.5" customHeight="1">
      <c r="A144" s="111" t="s">
        <v>20</v>
      </c>
      <c r="B144" s="111"/>
      <c r="C144" s="111"/>
      <c r="D144" s="111"/>
      <c r="E144" s="111"/>
      <c r="F144" s="111"/>
      <c r="G144" s="111"/>
      <c r="H144" s="111"/>
      <c r="I144" s="111"/>
      <c r="J144" s="111"/>
      <c r="K144" s="97"/>
      <c r="Q144" s="48"/>
    </row>
    <row r="145" spans="1:17" ht="19.5" customHeight="1">
      <c r="A145" s="111" t="s">
        <v>46</v>
      </c>
      <c r="B145" s="111"/>
      <c r="C145" s="111"/>
      <c r="D145" s="111"/>
      <c r="E145" s="111"/>
      <c r="F145" s="111"/>
      <c r="G145" s="111"/>
      <c r="H145" s="111"/>
      <c r="I145" s="111"/>
      <c r="J145" s="111"/>
      <c r="K145" s="78"/>
      <c r="Q145" s="48"/>
    </row>
    <row r="146" spans="1:17" ht="36.75" customHeight="1">
      <c r="C146" s="4" t="s">
        <v>22</v>
      </c>
      <c r="D146" s="78"/>
      <c r="E146" s="112" t="str">
        <f>IF($L$2&gt;3,E5,"")</f>
        <v/>
      </c>
      <c r="F146" s="112"/>
      <c r="G146" s="112"/>
      <c r="H146" s="112"/>
      <c r="I146" s="112"/>
      <c r="Q146" s="48"/>
    </row>
    <row r="147" spans="1:17" ht="15.6">
      <c r="B147" s="4"/>
      <c r="C147" s="44" t="s">
        <v>21</v>
      </c>
      <c r="E147" s="58" t="str">
        <f>IF($L$2&gt;3,E6,"")</f>
        <v/>
      </c>
      <c r="F147" s="58"/>
      <c r="G147" s="58"/>
      <c r="H147" s="58"/>
      <c r="I147" s="58"/>
      <c r="Q147" s="48"/>
    </row>
    <row r="148" spans="1:17">
      <c r="L148" s="42"/>
      <c r="Q148" s="48"/>
    </row>
    <row r="149" spans="1:17" ht="13.8" thickBot="1">
      <c r="L149" s="51"/>
      <c r="Q149" s="48"/>
    </row>
    <row r="150" spans="1:17" ht="31.8" thickBot="1">
      <c r="B150" s="2"/>
      <c r="C150" s="2"/>
      <c r="D150" s="2"/>
      <c r="E150" s="2"/>
      <c r="F150" s="60" t="s">
        <v>23</v>
      </c>
      <c r="G150" s="60" t="s">
        <v>88</v>
      </c>
      <c r="H150" s="80" t="s">
        <v>93</v>
      </c>
      <c r="I150" s="80" t="s">
        <v>94</v>
      </c>
      <c r="L150" s="42"/>
      <c r="Q150" s="48"/>
    </row>
    <row r="151" spans="1:17" ht="15.6">
      <c r="B151" s="54" t="s">
        <v>0</v>
      </c>
      <c r="C151" s="61" t="s">
        <v>73</v>
      </c>
      <c r="D151" s="55"/>
      <c r="E151" s="55"/>
      <c r="F151" s="75"/>
      <c r="G151" s="75"/>
      <c r="H151" s="75"/>
      <c r="I151" s="52"/>
      <c r="L151" s="96"/>
      <c r="Q151" s="48"/>
    </row>
    <row r="152" spans="1:17" ht="15.6">
      <c r="B152" s="8"/>
      <c r="C152" s="9" t="s">
        <v>1</v>
      </c>
      <c r="D152" s="6" t="str">
        <f>IF(D11=""," ",D11)</f>
        <v xml:space="preserve"> </v>
      </c>
      <c r="E152" s="10"/>
      <c r="F152" s="70" t="str">
        <f>IF($L$2&gt;3,ROUND(SUM(F105+(F105*$L$10)),0),"")</f>
        <v/>
      </c>
      <c r="G152" s="70" t="str">
        <f t="shared" ref="G152:H152" si="44">IF($L$2&gt;3,ROUND(SUM(G105+(G105*$L$10)),0),"")</f>
        <v/>
      </c>
      <c r="H152" s="70" t="str">
        <f t="shared" si="44"/>
        <v/>
      </c>
      <c r="I152" s="27"/>
      <c r="Q152" s="48"/>
    </row>
    <row r="153" spans="1:17" ht="15.6">
      <c r="B153" s="8"/>
      <c r="C153" s="9" t="s">
        <v>2</v>
      </c>
      <c r="D153" s="6" t="str">
        <f>IF(D12=""," ",D12)</f>
        <v xml:space="preserve"> </v>
      </c>
      <c r="E153" s="10"/>
      <c r="F153" s="70" t="str">
        <f t="shared" ref="F153:H153" si="45">IF($L$2&gt;3,ROUND(SUM(F106+(F106*$L$10)),0),"")</f>
        <v/>
      </c>
      <c r="G153" s="70" t="str">
        <f t="shared" si="45"/>
        <v/>
      </c>
      <c r="H153" s="70" t="str">
        <f t="shared" si="45"/>
        <v/>
      </c>
      <c r="I153" s="27"/>
      <c r="Q153" s="48"/>
    </row>
    <row r="154" spans="1:17" ht="15.6">
      <c r="B154" s="8"/>
      <c r="C154" s="9" t="s">
        <v>3</v>
      </c>
      <c r="D154" s="6" t="str">
        <f>IF(D13=""," ",D13)</f>
        <v xml:space="preserve"> </v>
      </c>
      <c r="E154" s="10"/>
      <c r="F154" s="70" t="str">
        <f t="shared" ref="F154:H154" si="46">IF($L$2&gt;3,ROUND(SUM(F107+(F107*$L$10)),0),"")</f>
        <v/>
      </c>
      <c r="G154" s="70" t="str">
        <f t="shared" si="46"/>
        <v/>
      </c>
      <c r="H154" s="70" t="str">
        <f t="shared" si="46"/>
        <v/>
      </c>
      <c r="I154" s="27"/>
      <c r="Q154" s="48"/>
    </row>
    <row r="155" spans="1:17" ht="15.6">
      <c r="B155" s="8"/>
      <c r="C155" s="9" t="s">
        <v>4</v>
      </c>
      <c r="D155" s="6" t="str">
        <f>IF(D14=""," ",D14)</f>
        <v xml:space="preserve"> </v>
      </c>
      <c r="E155" s="10"/>
      <c r="F155" s="70" t="str">
        <f t="shared" ref="F155:H155" si="47">IF($L$2&gt;3,ROUND(SUM(F108+(F108*$L$10)),0),"")</f>
        <v/>
      </c>
      <c r="G155" s="70" t="str">
        <f t="shared" si="47"/>
        <v/>
      </c>
      <c r="H155" s="70" t="str">
        <f t="shared" si="47"/>
        <v/>
      </c>
      <c r="I155" s="27"/>
      <c r="Q155" s="48"/>
    </row>
    <row r="156" spans="1:17" ht="15.6">
      <c r="B156" s="8"/>
      <c r="C156" s="9" t="s">
        <v>24</v>
      </c>
      <c r="D156" s="6" t="str">
        <f>IF(D15=""," ",D15)</f>
        <v xml:space="preserve"> </v>
      </c>
      <c r="E156" s="10"/>
      <c r="F156" s="70" t="str">
        <f t="shared" ref="F156:H156" si="48">IF($L$2&gt;3,ROUND(SUM(F109+(F109*$L$10)),0),"")</f>
        <v/>
      </c>
      <c r="G156" s="70" t="str">
        <f t="shared" si="48"/>
        <v/>
      </c>
      <c r="H156" s="70" t="str">
        <f t="shared" si="48"/>
        <v/>
      </c>
      <c r="I156" s="27"/>
      <c r="Q156" s="48"/>
    </row>
    <row r="157" spans="1:17" ht="15.6">
      <c r="B157" s="8"/>
      <c r="C157" s="9" t="s">
        <v>25</v>
      </c>
      <c r="D157" s="6" t="s">
        <v>48</v>
      </c>
      <c r="E157" s="10"/>
      <c r="F157" s="70" t="str">
        <f t="shared" ref="F157:H157" si="49">IF($L$2&gt;3,ROUND(SUM(F110+(F110*$L$10)),0),"")</f>
        <v/>
      </c>
      <c r="G157" s="70" t="str">
        <f t="shared" si="49"/>
        <v/>
      </c>
      <c r="H157" s="70" t="str">
        <f t="shared" si="49"/>
        <v/>
      </c>
      <c r="I157" s="27"/>
      <c r="Q157" s="48"/>
    </row>
    <row r="158" spans="1:17" ht="15.6">
      <c r="B158" s="8" t="s">
        <v>33</v>
      </c>
      <c r="C158" s="58" t="s">
        <v>74</v>
      </c>
      <c r="D158" s="6"/>
      <c r="E158" s="10"/>
      <c r="F158" s="69"/>
      <c r="G158" s="69"/>
      <c r="H158" s="69"/>
      <c r="I158" s="27"/>
      <c r="Q158" s="48"/>
    </row>
    <row r="159" spans="1:17" ht="15.6">
      <c r="B159" s="8"/>
      <c r="C159" s="67" t="s">
        <v>1</v>
      </c>
      <c r="D159" s="6" t="s">
        <v>30</v>
      </c>
      <c r="E159" s="10"/>
      <c r="F159" s="70" t="str">
        <f t="shared" ref="F159:H160" si="50">IF($L$2&gt;3,ROUND(SUM(F112+(F112*$L$10)),0),"")</f>
        <v/>
      </c>
      <c r="G159" s="70" t="str">
        <f t="shared" si="50"/>
        <v/>
      </c>
      <c r="H159" s="70" t="str">
        <f t="shared" si="50"/>
        <v/>
      </c>
      <c r="I159" s="27"/>
      <c r="Q159" s="48"/>
    </row>
    <row r="160" spans="1:17" ht="15.6">
      <c r="B160" s="8"/>
      <c r="C160" s="9" t="s">
        <v>2</v>
      </c>
      <c r="D160" s="6" t="s">
        <v>31</v>
      </c>
      <c r="E160" s="10"/>
      <c r="F160" s="70" t="str">
        <f t="shared" si="50"/>
        <v/>
      </c>
      <c r="G160" s="70" t="str">
        <f t="shared" si="50"/>
        <v/>
      </c>
      <c r="H160" s="70" t="str">
        <f t="shared" si="50"/>
        <v/>
      </c>
      <c r="I160" s="21">
        <v>0</v>
      </c>
      <c r="M160" s="100" t="s">
        <v>109</v>
      </c>
      <c r="Q160" s="100" t="s">
        <v>110</v>
      </c>
    </row>
    <row r="161" spans="2:18" ht="23.4" customHeight="1">
      <c r="B161" s="8"/>
      <c r="C161" s="9" t="s">
        <v>3</v>
      </c>
      <c r="D161" s="6" t="s">
        <v>26</v>
      </c>
      <c r="E161" s="5"/>
      <c r="F161" s="70" t="str">
        <f>IF($L$2&gt;3,ROUND(SUM(F114+(F114*$L$10)),0),"")</f>
        <v/>
      </c>
      <c r="G161" s="69"/>
      <c r="H161" s="70" t="str">
        <f>IF($L$2&gt;3,ROUND(SUM(H114+(H114*$L$10)),0),"")</f>
        <v/>
      </c>
      <c r="I161" s="27"/>
      <c r="L161" s="99" t="s">
        <v>104</v>
      </c>
      <c r="M161" s="100" t="s">
        <v>108</v>
      </c>
      <c r="N161" s="101"/>
      <c r="P161" s="99" t="s">
        <v>104</v>
      </c>
      <c r="Q161" s="100" t="s">
        <v>108</v>
      </c>
    </row>
    <row r="162" spans="2:18" ht="15.6">
      <c r="B162" s="8"/>
      <c r="C162" s="9" t="s">
        <v>4</v>
      </c>
      <c r="D162" s="6" t="s">
        <v>27</v>
      </c>
      <c r="E162" s="6"/>
      <c r="F162" s="70" t="str">
        <f>IF($L$2&gt;3,ROUND(SUM(F115+(F115*$L$10)),0),"")</f>
        <v/>
      </c>
      <c r="G162" s="70" t="str">
        <f t="shared" ref="G162:H162" si="51">IF($L$2&gt;3,ROUND(SUM(G115+(G115*$L$10)),0),"")</f>
        <v/>
      </c>
      <c r="H162" s="70" t="str">
        <f t="shared" si="51"/>
        <v/>
      </c>
      <c r="I162" s="27"/>
      <c r="L162" s="102" t="s">
        <v>105</v>
      </c>
      <c r="M162" s="103" t="str">
        <f>IF($L$2&gt;3,M119,"")</f>
        <v/>
      </c>
      <c r="N162" s="104" t="str">
        <f>IF($L$2&gt;3,(M162/12)*2249,"")</f>
        <v/>
      </c>
      <c r="P162" s="102" t="s">
        <v>105</v>
      </c>
      <c r="Q162" s="103" t="str">
        <f>IF($L$2&gt;3,Q119,"")</f>
        <v/>
      </c>
      <c r="R162" s="104" t="str">
        <f>IF($L$2&gt;3,(Q162/12)*2249,"")</f>
        <v/>
      </c>
    </row>
    <row r="163" spans="2:18" ht="15.6">
      <c r="B163" s="7"/>
      <c r="C163" s="59" t="s">
        <v>24</v>
      </c>
      <c r="D163" s="5" t="s">
        <v>81</v>
      </c>
      <c r="E163" s="5"/>
      <c r="F163" s="70">
        <v>0</v>
      </c>
      <c r="G163" s="70">
        <v>0</v>
      </c>
      <c r="H163" s="70">
        <v>0</v>
      </c>
      <c r="I163" s="27"/>
      <c r="L163" s="102" t="s">
        <v>106</v>
      </c>
      <c r="M163" s="103" t="str">
        <f>IF($L$2&gt;3,M120,"")</f>
        <v/>
      </c>
      <c r="N163" s="104" t="str">
        <f>IF($L$2&gt;3,(M163/9)*1731,"")</f>
        <v/>
      </c>
      <c r="P163" s="102" t="s">
        <v>106</v>
      </c>
      <c r="Q163" s="103" t="str">
        <f>IF($L$2&gt;3,Q120,"")</f>
        <v/>
      </c>
      <c r="R163" s="104" t="str">
        <f>IF($L$2&gt;3,(Q163/9)*1731,"")</f>
        <v/>
      </c>
    </row>
    <row r="164" spans="2:18" ht="15.6">
      <c r="B164" s="8" t="s">
        <v>5</v>
      </c>
      <c r="C164" s="6" t="s">
        <v>37</v>
      </c>
      <c r="D164" s="6"/>
      <c r="E164" s="5"/>
      <c r="F164" s="70" t="str">
        <f>IF($L$2&gt;3,SUM(F152:F163),"")</f>
        <v/>
      </c>
      <c r="G164" s="70" t="str">
        <f t="shared" ref="G164:I164" si="52">IF($L$2&gt;3,SUM(G152:G163),"")</f>
        <v/>
      </c>
      <c r="H164" s="70" t="str">
        <f t="shared" si="52"/>
        <v/>
      </c>
      <c r="I164" s="70" t="str">
        <f t="shared" si="52"/>
        <v/>
      </c>
      <c r="L164" s="102" t="s">
        <v>107</v>
      </c>
      <c r="M164" s="103" t="str">
        <f>IF($L$2&gt;3,M121,"")</f>
        <v/>
      </c>
      <c r="N164" s="104" t="str">
        <f>IF($L$2&gt;3,(M164/3)*518,"")</f>
        <v/>
      </c>
      <c r="P164" s="102" t="s">
        <v>107</v>
      </c>
      <c r="Q164" s="103" t="str">
        <f>IF($L$2&gt;3,Q121,"")</f>
        <v/>
      </c>
      <c r="R164" s="104" t="str">
        <f>IF($L$2&gt;3,(Q164/3)*518,"")</f>
        <v/>
      </c>
    </row>
    <row r="165" spans="2:18" ht="15.6">
      <c r="B165" s="8" t="s">
        <v>6</v>
      </c>
      <c r="C165" s="6" t="s">
        <v>77</v>
      </c>
      <c r="D165" s="6"/>
      <c r="E165" s="53"/>
      <c r="F165" s="69"/>
      <c r="G165" s="69"/>
      <c r="H165" s="69"/>
      <c r="I165" s="27"/>
      <c r="L165" s="101"/>
      <c r="M165" s="101"/>
      <c r="N165" s="104">
        <f>IF($L$2&gt;3,SUM(N162:N164),0)</f>
        <v>0</v>
      </c>
      <c r="R165" s="104">
        <f>IF($L$3&gt;3,SUM(R162:R164),0)</f>
        <v>0</v>
      </c>
    </row>
    <row r="166" spans="2:18" ht="15.6">
      <c r="B166" s="8"/>
      <c r="C166" s="6" t="s">
        <v>83</v>
      </c>
      <c r="D166" s="6"/>
      <c r="E166" s="66">
        <v>0.4</v>
      </c>
      <c r="F166" s="70" t="str">
        <f>IF($L$2&gt;3,ROUND(($E$166)*SUM(F152:F160),0),"")</f>
        <v/>
      </c>
      <c r="G166" s="70" t="str">
        <f t="shared" ref="G166:H166" si="53">IF($L$2&gt;3,ROUND(($E$166)*SUM(G152:G160),0),"")</f>
        <v/>
      </c>
      <c r="H166" s="70" t="str">
        <f t="shared" si="53"/>
        <v/>
      </c>
      <c r="I166" s="21">
        <v>0</v>
      </c>
    </row>
    <row r="167" spans="2:18" ht="15.6">
      <c r="B167" s="8"/>
      <c r="C167" s="6" t="s">
        <v>84</v>
      </c>
      <c r="D167" s="6"/>
      <c r="E167" s="63">
        <v>7.6499999999999999E-2</v>
      </c>
      <c r="F167" s="70" t="str">
        <f>IF($L$2&gt;3,ROUND($E$167*F163,0),"")</f>
        <v/>
      </c>
      <c r="G167" s="70" t="str">
        <f t="shared" ref="G167:H167" si="54">IF($L$2&gt;3,ROUND($E$167*G163,0),"")</f>
        <v/>
      </c>
      <c r="H167" s="70" t="str">
        <f t="shared" si="54"/>
        <v/>
      </c>
      <c r="I167" s="27"/>
      <c r="N167" s="39"/>
    </row>
    <row r="168" spans="2:18" ht="15.6">
      <c r="B168" s="8"/>
      <c r="C168" s="6" t="s">
        <v>26</v>
      </c>
      <c r="D168" s="6"/>
      <c r="E168" s="63"/>
      <c r="F168" s="70" t="str">
        <f>IF($L$2&gt;3,N165,"")</f>
        <v/>
      </c>
      <c r="G168" s="107"/>
      <c r="H168" s="70">
        <f>IF($L$2&gt;3,R165,0)</f>
        <v>0</v>
      </c>
      <c r="I168" s="27"/>
      <c r="N168" s="39" t="s">
        <v>61</v>
      </c>
    </row>
    <row r="169" spans="2:18" ht="15.6">
      <c r="B169" s="8" t="s">
        <v>7</v>
      </c>
      <c r="C169" s="6" t="s">
        <v>78</v>
      </c>
      <c r="D169" s="6"/>
      <c r="E169" s="63"/>
      <c r="F169" s="70" t="str">
        <f>IF($L$2&gt;3,SUM(F166:F167),"")</f>
        <v/>
      </c>
      <c r="G169" s="70" t="str">
        <f t="shared" ref="G169:I169" si="55">IF($L$2&gt;3,SUM(G166:G167),"")</f>
        <v/>
      </c>
      <c r="H169" s="70" t="str">
        <f t="shared" si="55"/>
        <v/>
      </c>
      <c r="I169" s="70" t="str">
        <f t="shared" si="55"/>
        <v/>
      </c>
      <c r="L169" s="40" t="s">
        <v>55</v>
      </c>
      <c r="N169" s="39" t="s">
        <v>62</v>
      </c>
    </row>
    <row r="170" spans="2:18" ht="15.6">
      <c r="B170" s="8" t="s">
        <v>8</v>
      </c>
      <c r="C170" s="5" t="s">
        <v>38</v>
      </c>
      <c r="D170" s="6"/>
      <c r="E170" s="10"/>
      <c r="F170" s="70" t="str">
        <f>IF($L$2&gt;3,SUM(F164+F169),"")</f>
        <v/>
      </c>
      <c r="G170" s="70" t="str">
        <f t="shared" ref="G170:I170" si="56">IF($L$2&gt;3,SUM(G164+G169),"")</f>
        <v/>
      </c>
      <c r="H170" s="70" t="str">
        <f t="shared" si="56"/>
        <v/>
      </c>
      <c r="I170" s="70" t="str">
        <f t="shared" si="56"/>
        <v/>
      </c>
      <c r="L170" s="40" t="s">
        <v>56</v>
      </c>
      <c r="M170" s="38" t="s">
        <v>59</v>
      </c>
      <c r="N170" s="39" t="s">
        <v>63</v>
      </c>
    </row>
    <row r="171" spans="2:18" ht="15.6">
      <c r="B171" s="7" t="s">
        <v>9</v>
      </c>
      <c r="C171" s="5" t="s">
        <v>28</v>
      </c>
      <c r="D171" s="6"/>
      <c r="E171" s="12"/>
      <c r="F171" s="70" t="str">
        <f>IF($L$2&gt;3,ROUND(SUM(F124+(F124*$L$13)),0),"")</f>
        <v/>
      </c>
      <c r="G171" s="70" t="str">
        <f t="shared" ref="G171:H171" si="57">IF($L$2&gt;3,ROUND(SUM(G124+(G124*$L$13)),0),"")</f>
        <v/>
      </c>
      <c r="H171" s="70" t="str">
        <f t="shared" si="57"/>
        <v/>
      </c>
      <c r="I171" s="21">
        <v>0</v>
      </c>
      <c r="L171" s="32" t="str">
        <f>IF($L$2&gt;3,$L$36,"Subcontract 1:")</f>
        <v>Subcontract 1:</v>
      </c>
      <c r="M171" s="35"/>
      <c r="N171" s="41">
        <f>IF(M171+N36+N81+N128&gt;=25000,25000-(N36+N81+N128),M171)</f>
        <v>0</v>
      </c>
    </row>
    <row r="172" spans="2:18" ht="15.6">
      <c r="B172" s="13" t="s">
        <v>10</v>
      </c>
      <c r="C172" s="14" t="s">
        <v>19</v>
      </c>
      <c r="D172" s="2"/>
      <c r="E172" s="10"/>
      <c r="F172" s="70" t="str">
        <f>IF($L$2&gt;3,ROUND(SUM(F125+(F125*$L$13)),0),"")</f>
        <v/>
      </c>
      <c r="G172" s="70" t="str">
        <f t="shared" ref="G172:H172" si="58">IF($L$2&gt;3,ROUND(SUM(G125+(G125*$L$13)),0),"")</f>
        <v/>
      </c>
      <c r="H172" s="70" t="str">
        <f t="shared" si="58"/>
        <v/>
      </c>
      <c r="I172" s="21">
        <v>0</v>
      </c>
      <c r="L172" s="33" t="str">
        <f>IF($L$2&gt;3,$L$37,"Subcontract 2:")</f>
        <v>Subcontract 2:</v>
      </c>
      <c r="M172" s="36"/>
      <c r="N172" s="41">
        <f>IF(M172+N37+N82+N129&gt;=25000,25000-(N37+N82+N129),M172)</f>
        <v>0</v>
      </c>
    </row>
    <row r="173" spans="2:18" ht="15.6">
      <c r="B173" s="8" t="s">
        <v>11</v>
      </c>
      <c r="C173" s="15" t="s">
        <v>34</v>
      </c>
      <c r="D173" s="6"/>
      <c r="E173" s="10"/>
      <c r="F173" s="70" t="str">
        <f>IF($L$2&gt;3,ROUND(SUM(F126+(F126*$L$13)),0),"")</f>
        <v/>
      </c>
      <c r="G173" s="70" t="str">
        <f t="shared" ref="G173:H173" si="59">IF($L$2&gt;3,ROUND(SUM(G126+(G126*$L$13)),0),"")</f>
        <v/>
      </c>
      <c r="H173" s="70" t="str">
        <f t="shared" si="59"/>
        <v/>
      </c>
      <c r="I173" s="21">
        <v>0</v>
      </c>
      <c r="L173" s="33" t="str">
        <f>IF($L$2&gt;3,$L$38,"Subcontract 3:")</f>
        <v>Subcontract 3:</v>
      </c>
      <c r="M173" s="36"/>
      <c r="N173" s="41">
        <f>IF(M173+N38+N83+N130&gt;=25000,25000-(N38+N83+N130),M173)</f>
        <v>0</v>
      </c>
    </row>
    <row r="174" spans="2:18" ht="15.6">
      <c r="B174" s="8" t="s">
        <v>12</v>
      </c>
      <c r="C174" s="15" t="s">
        <v>35</v>
      </c>
      <c r="D174" s="6"/>
      <c r="E174" s="10"/>
      <c r="F174" s="71"/>
      <c r="G174" s="71"/>
      <c r="H174" s="71"/>
      <c r="I174" s="28"/>
      <c r="L174" s="34" t="str">
        <f>IF($L$2&gt;3,$L$39,"Subcontract 4:")</f>
        <v>Subcontract 4:</v>
      </c>
      <c r="M174" s="37"/>
      <c r="N174" s="41">
        <f>IF(M174+N39+N84+N131&gt;=25000,25000-(N39+N84+N131),M174)</f>
        <v>0</v>
      </c>
    </row>
    <row r="175" spans="2:18" ht="15.6">
      <c r="B175" s="22"/>
      <c r="C175" s="15" t="s">
        <v>39</v>
      </c>
      <c r="D175" s="6"/>
      <c r="E175" s="10"/>
      <c r="F175" s="70" t="str">
        <f>IF($L$2&gt;3,SUM(M171:M174),"")</f>
        <v/>
      </c>
      <c r="G175" s="70">
        <v>0</v>
      </c>
      <c r="H175" s="70">
        <v>0</v>
      </c>
      <c r="I175" s="28"/>
    </row>
    <row r="176" spans="2:18" ht="15.6">
      <c r="B176" s="8"/>
      <c r="C176" s="15" t="s">
        <v>40</v>
      </c>
      <c r="D176" s="6"/>
      <c r="E176" s="10"/>
      <c r="F176" s="70" t="str">
        <f>IF($L$2&gt;3,ROUND(SUM(F129+(F129*$L$13)),0),"")</f>
        <v/>
      </c>
      <c r="G176" s="70" t="str">
        <f t="shared" ref="G176:H176" si="60">IF($L$2&gt;3,ROUND(SUM(G129+(G129*$L$13)),0),"")</f>
        <v/>
      </c>
      <c r="H176" s="70" t="str">
        <f t="shared" si="60"/>
        <v/>
      </c>
      <c r="I176" s="21">
        <v>0</v>
      </c>
    </row>
    <row r="177" spans="1:11" ht="15.6">
      <c r="B177" s="8"/>
      <c r="C177" s="15" t="s">
        <v>76</v>
      </c>
      <c r="D177" s="6"/>
      <c r="E177" s="10"/>
      <c r="F177" s="70" t="str">
        <f t="shared" ref="F177:H177" si="61">IF($L$2&gt;3,ROUND(SUM(F130+(F130*$L$13)),0),"")</f>
        <v/>
      </c>
      <c r="G177" s="70" t="str">
        <f t="shared" si="61"/>
        <v/>
      </c>
      <c r="H177" s="70" t="str">
        <f t="shared" si="61"/>
        <v/>
      </c>
      <c r="I177" s="21">
        <v>0</v>
      </c>
    </row>
    <row r="178" spans="1:11" ht="15.6">
      <c r="B178" s="8" t="s">
        <v>13</v>
      </c>
      <c r="C178" s="15" t="s">
        <v>36</v>
      </c>
      <c r="D178" s="6"/>
      <c r="E178" s="10"/>
      <c r="F178" s="70" t="str">
        <f t="shared" ref="F178:H178" si="62">IF($L$2&gt;3,ROUND(SUM(F131+(F131*$L$13)),0),"")</f>
        <v/>
      </c>
      <c r="G178" s="70" t="str">
        <f t="shared" si="62"/>
        <v/>
      </c>
      <c r="H178" s="70" t="str">
        <f t="shared" si="62"/>
        <v/>
      </c>
      <c r="I178" s="21">
        <v>0</v>
      </c>
    </row>
    <row r="179" spans="1:11" ht="15.6">
      <c r="B179" s="8" t="s">
        <v>14</v>
      </c>
      <c r="C179" s="6" t="s">
        <v>18</v>
      </c>
      <c r="D179" s="6"/>
      <c r="E179" s="10"/>
      <c r="F179" s="70">
        <v>0</v>
      </c>
      <c r="G179" s="70">
        <v>0</v>
      </c>
      <c r="H179" s="70">
        <v>0</v>
      </c>
      <c r="I179" s="21">
        <v>0</v>
      </c>
    </row>
    <row r="180" spans="1:11" ht="15.6">
      <c r="B180" s="8" t="s">
        <v>15</v>
      </c>
      <c r="C180" s="6" t="s">
        <v>97</v>
      </c>
      <c r="D180" s="6"/>
      <c r="E180" s="10"/>
      <c r="F180" s="70">
        <v>0</v>
      </c>
      <c r="G180" s="70">
        <v>0</v>
      </c>
      <c r="H180" s="70">
        <v>0</v>
      </c>
      <c r="I180" s="21">
        <v>0</v>
      </c>
    </row>
    <row r="181" spans="1:11" ht="15.6">
      <c r="B181" s="8" t="s">
        <v>75</v>
      </c>
      <c r="C181" s="58" t="s">
        <v>96</v>
      </c>
      <c r="D181" s="68"/>
      <c r="E181" s="95">
        <v>0.38</v>
      </c>
      <c r="F181" s="70" t="str">
        <f>IF($L$2&gt;3,F161*E181,"")</f>
        <v/>
      </c>
      <c r="G181" s="71"/>
      <c r="H181" s="70" t="str">
        <f>IF($L$2&gt;3,H161*E181,"")</f>
        <v/>
      </c>
      <c r="I181" s="28"/>
    </row>
    <row r="182" spans="1:11" ht="15.6">
      <c r="B182" s="11" t="s">
        <v>79</v>
      </c>
      <c r="C182" s="2" t="s">
        <v>29</v>
      </c>
      <c r="D182" s="2"/>
      <c r="E182" s="16"/>
      <c r="F182" s="70" t="str">
        <f>IF($L$2&gt;3,SUM(F170:F181),"")</f>
        <v/>
      </c>
      <c r="G182" s="70" t="str">
        <f t="shared" ref="G182:I182" si="63">IF($L$2&gt;3,SUM(G170:G181),"")</f>
        <v/>
      </c>
      <c r="H182" s="70" t="str">
        <f t="shared" si="63"/>
        <v/>
      </c>
      <c r="I182" s="70" t="str">
        <f t="shared" si="63"/>
        <v/>
      </c>
    </row>
    <row r="183" spans="1:11" ht="15.6">
      <c r="B183" s="8" t="s">
        <v>80</v>
      </c>
      <c r="C183" s="6" t="s">
        <v>41</v>
      </c>
      <c r="D183" s="6"/>
      <c r="E183" s="2"/>
      <c r="F183" s="71"/>
      <c r="G183" s="71"/>
      <c r="H183" s="71"/>
      <c r="I183" s="28"/>
      <c r="J183" s="56"/>
    </row>
    <row r="184" spans="1:11" ht="15.6">
      <c r="A184" s="57"/>
      <c r="B184" s="30" t="s">
        <v>42</v>
      </c>
      <c r="C184" s="23">
        <f>C43</f>
        <v>0.5</v>
      </c>
      <c r="D184" s="65" t="s">
        <v>43</v>
      </c>
      <c r="E184" s="24" t="str">
        <f>IF($L$2&gt;3,(IF($N$171&gt;25000,"25000",$N$171)+IF($N$172&gt;25000,"25000",$N$172)+IF($N$173&gt;25000,"25000",$N$173)+IF($N$174&gt;25000,"25000",$N$174)+$F$182-$F$175-$F$179-$F$181-$F$180),"")</f>
        <v/>
      </c>
      <c r="F184" s="70" t="str">
        <f>IF(L2&gt;3,((ROUND(((ROUND((F152*$E$166)+(F152),0))*$C$184),0)+(ROUND(((ROUND((F153*$E$166)+(F153),0))*$C$184),0)+(ROUND(((ROUND((F154*$E$166)+(F154),0))*$C$184),0)+(ROUND(((ROUND((F155*$E$166)+(F155),0))*$C$184),0)+(ROUND(((ROUND((F156*$E$166)+(F156),0))*$C$184),0)+(ROUND(((ROUND((F157*$E$166)+(F157),0))*$C$184),0)+(ROUND(((ROUND((F159*$E$166)+(F159),0))*$C$184),0)+(ROUND(((ROUND((F160*$E$166)+(F160),0))*$C$184),0)+(ROUND((((F168)+(F161))*$C$184),0))+(ROUND(((F162)*$C$184),0))+(ROUND(((ROUND((F163*$E$167)+(F163),0))*$C$184),0)+(ROUND(((F171)*$C$184),0))+(ROUND(((F172)*$C$184),0))+(ROUND(((F173)*$C$184),0))+(ROUND(((IF($N$171&gt;25000,"25000",$N$171)+IF($N$172&gt;25000,"25000",$N$172)+IF($N$173&gt;25000,"25000",$N$173)+IF($N$174&gt;25000,"25000",$N$174))*$C$184),0))+(ROUND(((F176)*$C$184),0))+(ROUND(((F177)*$C$184),0))+(ROUND(((F178)*$C$184),0)))))))))))),"")</f>
        <v/>
      </c>
      <c r="G184" s="70" t="str">
        <f>IF(L2&gt;3,((ROUND(((ROUND((G152*$E$166)+(G152),0))*$L$43),0)+(ROUND(((ROUND((G153*$E$166)+(G153),0))*$L$43),0)+(ROUND(((ROUND((G154*$E$166)+(G154),0))*$L$43),0)+(ROUND(((ROUND((G155*$E$166)+(G155),0))*$L$43),0)+(ROUND(((ROUND((G156*$E$166)+(G156),0))*$L$43),0)+(ROUND(((ROUND((G157*$E$166)+(G157),0))*$L$43),0)+(ROUND(((ROUND((G159*$E$166)+(G159),0))*$L$43),0)+(ROUND(((ROUND((G160*$E$166)+(G160),0))*$L$43),0)+(ROUND((((G168)+(G161))*$L$43),0))+(ROUND(((G162)*$L$43),0))+(ROUND(((ROUND((G163*$E$167)+(G163),0))*$L$43),0)+(ROUND(((G171)*$L$43),0))+(ROUND(((G172)*$L$43),0))+(ROUND(((G173)*$L$43),0))+(ROUND(((G176)*$L$43),0))+(ROUND(((G177)*$L$43),0))+(ROUND(((G178)*$L$43),0)))))))))))),"")</f>
        <v/>
      </c>
      <c r="H184" s="70" t="str">
        <f>IF(L2&gt;3,((ROUND(((ROUND((H152*$E$166)+(H152),0))*$L$43),0)+(ROUND(((ROUND((H153*$E$166)+(H153),0))*$L$43),0)+(ROUND(((ROUND((H154*$E$166)+(H154),0))*$L$43),0)+(ROUND(((ROUND((H155*$E$166)+(H155),0))*$L$43),0)+(ROUND(((ROUND((H156*$E$166)+(H156),0))*$L$43),0)+(ROUND(((ROUND((H157*$E$166)+(H157),0))*$L$43),0)+(ROUND(((ROUND((H159*$E$166)+(H159),0))*$L$43),0)+(ROUND(((ROUND((H160*$E$166)+(H160),0))*$L$43),0)+(ROUND((((H168)+(H161))*$L$43),0))+(ROUND(((H162)*$L$43),0))+(ROUND(((ROUND((H163*$E$167)+(H163),0))*$L$43),0)+(ROUND(((H171)*$L$43),0))+(ROUND(((H172)*$L$43),0))+(ROUND(((H173)*$L$43),0))+(ROUND(((H176)*$L$43),0))+(ROUND(((H177)*$L$43),0))+(ROUND(((H178)*$L$43),0)))))))))))),"")</f>
        <v/>
      </c>
      <c r="I184" s="28"/>
      <c r="J184" s="56"/>
    </row>
    <row r="185" spans="1:11" ht="15.6">
      <c r="A185" s="57"/>
      <c r="B185" s="30"/>
      <c r="C185" s="72"/>
      <c r="D185" s="73" t="s">
        <v>90</v>
      </c>
      <c r="E185" s="74"/>
      <c r="F185" s="71"/>
      <c r="G185" s="70">
        <v>0</v>
      </c>
      <c r="H185" s="71"/>
      <c r="I185" s="28"/>
      <c r="J185" s="62"/>
      <c r="K185" s="62"/>
    </row>
    <row r="186" spans="1:11" ht="16.2" thickBot="1">
      <c r="A186" s="57"/>
      <c r="B186" s="29" t="s">
        <v>98</v>
      </c>
      <c r="C186" s="17" t="s">
        <v>32</v>
      </c>
      <c r="D186" s="18"/>
      <c r="E186" s="19"/>
      <c r="F186" s="77" t="str">
        <f>IF($L$2&gt;3,SUM(F182:F185),"")</f>
        <v/>
      </c>
      <c r="G186" s="77" t="str">
        <f t="shared" ref="G186:I186" si="64">IF($L$2&gt;3,SUM(G182:G185),"")</f>
        <v/>
      </c>
      <c r="H186" s="77" t="str">
        <f t="shared" si="64"/>
        <v/>
      </c>
      <c r="I186" s="77" t="str">
        <f t="shared" si="64"/>
        <v/>
      </c>
      <c r="J186" s="97"/>
      <c r="K186" s="97"/>
    </row>
    <row r="187" spans="1:11" ht="15.6">
      <c r="A187" s="57"/>
      <c r="B187" s="57" t="s">
        <v>99</v>
      </c>
      <c r="D187" s="2"/>
      <c r="E187" s="2"/>
      <c r="F187" s="2"/>
      <c r="G187" s="2"/>
      <c r="H187" s="2"/>
      <c r="I187" s="2"/>
      <c r="J187" s="97"/>
      <c r="K187" s="97"/>
    </row>
    <row r="188" spans="1:11" ht="16.5" customHeight="1">
      <c r="A188" s="57"/>
      <c r="B188" s="57"/>
      <c r="C188" s="57" t="s">
        <v>100</v>
      </c>
      <c r="D188" s="2"/>
      <c r="E188" s="2"/>
      <c r="F188" s="2"/>
      <c r="G188" s="2"/>
      <c r="H188" s="2"/>
      <c r="I188" s="2"/>
      <c r="J188" s="78"/>
      <c r="K188" s="78"/>
    </row>
    <row r="189" spans="1:11" ht="16.5" customHeight="1">
      <c r="A189" s="57"/>
      <c r="B189" s="57"/>
      <c r="C189" s="57"/>
      <c r="D189" s="2"/>
      <c r="E189" s="2"/>
      <c r="F189" s="2"/>
      <c r="G189" s="2"/>
      <c r="H189" s="2"/>
      <c r="I189" s="2"/>
      <c r="J189" s="78"/>
      <c r="K189" s="78"/>
    </row>
    <row r="190" spans="1:11" ht="15.6">
      <c r="A190" s="114" t="s">
        <v>16</v>
      </c>
      <c r="B190" s="114"/>
      <c r="C190" s="114"/>
      <c r="D190" s="114"/>
      <c r="E190" s="114"/>
      <c r="F190" s="114"/>
      <c r="G190" s="114"/>
      <c r="H190" s="114"/>
      <c r="I190" s="114"/>
      <c r="J190" s="114"/>
      <c r="K190" s="20"/>
    </row>
    <row r="191" spans="1:11" ht="15.6">
      <c r="A191" s="111" t="s">
        <v>20</v>
      </c>
      <c r="B191" s="111"/>
      <c r="C191" s="111"/>
      <c r="D191" s="111"/>
      <c r="E191" s="111"/>
      <c r="F191" s="111"/>
      <c r="G191" s="111"/>
      <c r="H191" s="111"/>
      <c r="I191" s="111"/>
      <c r="J191" s="111"/>
    </row>
    <row r="192" spans="1:11" ht="15.6">
      <c r="A192" s="111" t="s">
        <v>47</v>
      </c>
      <c r="B192" s="111"/>
      <c r="C192" s="111"/>
      <c r="D192" s="111"/>
      <c r="E192" s="111"/>
      <c r="F192" s="111"/>
      <c r="G192" s="111"/>
      <c r="H192" s="111"/>
      <c r="I192" s="111"/>
      <c r="J192" s="111"/>
    </row>
    <row r="193" spans="2:12" ht="36.75" customHeight="1">
      <c r="C193" s="4" t="s">
        <v>22</v>
      </c>
      <c r="D193" s="78"/>
      <c r="E193" s="112" t="str">
        <f>IF($L$2&gt;4,E5,"")</f>
        <v/>
      </c>
      <c r="F193" s="112"/>
      <c r="G193" s="112"/>
      <c r="H193" s="112"/>
      <c r="I193" s="112"/>
    </row>
    <row r="194" spans="2:12" ht="15.6">
      <c r="B194" s="4"/>
      <c r="C194" s="44" t="s">
        <v>21</v>
      </c>
      <c r="E194" s="58" t="str">
        <f>IF($L$2&gt;4,E6,"")</f>
        <v/>
      </c>
      <c r="F194" s="58"/>
      <c r="G194" s="58"/>
      <c r="H194" s="58"/>
      <c r="I194" s="58"/>
      <c r="L194" s="42"/>
    </row>
    <row r="195" spans="2:12">
      <c r="L195" s="51"/>
    </row>
    <row r="196" spans="2:12" ht="13.8" thickBot="1">
      <c r="L196" s="42"/>
    </row>
    <row r="197" spans="2:12" ht="31.8" thickBot="1">
      <c r="B197" s="2"/>
      <c r="C197" s="2"/>
      <c r="D197" s="2"/>
      <c r="E197" s="2"/>
      <c r="F197" s="60" t="s">
        <v>23</v>
      </c>
      <c r="G197" s="60" t="s">
        <v>88</v>
      </c>
      <c r="H197" s="80" t="s">
        <v>93</v>
      </c>
      <c r="I197" s="80" t="s">
        <v>94</v>
      </c>
      <c r="L197" s="96"/>
    </row>
    <row r="198" spans="2:12" ht="15.6">
      <c r="B198" s="54" t="s">
        <v>0</v>
      </c>
      <c r="C198" s="61" t="s">
        <v>73</v>
      </c>
      <c r="D198" s="55"/>
      <c r="E198" s="55"/>
      <c r="F198" s="75"/>
      <c r="G198" s="75"/>
      <c r="H198" s="75"/>
      <c r="I198" s="52"/>
    </row>
    <row r="199" spans="2:12" ht="15.6">
      <c r="B199" s="8"/>
      <c r="C199" s="9" t="s">
        <v>1</v>
      </c>
      <c r="D199" s="6" t="str">
        <f>IF(D11=""," ",D11)</f>
        <v xml:space="preserve"> </v>
      </c>
      <c r="E199" s="10"/>
      <c r="F199" s="70" t="str">
        <f>IF($L$2&gt;4,ROUND(SUM(F152+(F152*$L$10)),0),"")</f>
        <v/>
      </c>
      <c r="G199" s="70" t="str">
        <f t="shared" ref="G199:H199" si="65">IF($L$2&gt;4,ROUND(SUM(G152+(G152*$L$10)),0),"")</f>
        <v/>
      </c>
      <c r="H199" s="70" t="str">
        <f t="shared" si="65"/>
        <v/>
      </c>
      <c r="I199" s="27"/>
    </row>
    <row r="200" spans="2:12" ht="15.6">
      <c r="B200" s="8"/>
      <c r="C200" s="9" t="s">
        <v>2</v>
      </c>
      <c r="D200" s="6" t="str">
        <f>IF(D12=""," ",D12)</f>
        <v xml:space="preserve"> </v>
      </c>
      <c r="E200" s="10"/>
      <c r="F200" s="70" t="str">
        <f t="shared" ref="F200:H200" si="66">IF($L$2&gt;4,ROUND(SUM(F153+(F153*$L$10)),0),"")</f>
        <v/>
      </c>
      <c r="G200" s="70" t="str">
        <f t="shared" si="66"/>
        <v/>
      </c>
      <c r="H200" s="70" t="str">
        <f t="shared" si="66"/>
        <v/>
      </c>
      <c r="I200" s="27"/>
    </row>
    <row r="201" spans="2:12" ht="15.6">
      <c r="B201" s="8"/>
      <c r="C201" s="9" t="s">
        <v>3</v>
      </c>
      <c r="D201" s="6" t="str">
        <f>IF(D13=""," ",D13)</f>
        <v xml:space="preserve"> </v>
      </c>
      <c r="E201" s="10"/>
      <c r="F201" s="70" t="str">
        <f t="shared" ref="F201:H201" si="67">IF($L$2&gt;4,ROUND(SUM(F154+(F154*$L$10)),0),"")</f>
        <v/>
      </c>
      <c r="G201" s="70" t="str">
        <f t="shared" si="67"/>
        <v/>
      </c>
      <c r="H201" s="70" t="str">
        <f t="shared" si="67"/>
        <v/>
      </c>
      <c r="I201" s="27"/>
    </row>
    <row r="202" spans="2:12" ht="15.6">
      <c r="B202" s="8"/>
      <c r="C202" s="9" t="s">
        <v>4</v>
      </c>
      <c r="D202" s="6" t="str">
        <f>IF(D14=""," ",D14)</f>
        <v xml:space="preserve"> </v>
      </c>
      <c r="E202" s="10"/>
      <c r="F202" s="70" t="str">
        <f t="shared" ref="F202:H202" si="68">IF($L$2&gt;4,ROUND(SUM(F155+(F155*$L$10)),0),"")</f>
        <v/>
      </c>
      <c r="G202" s="70" t="str">
        <f t="shared" si="68"/>
        <v/>
      </c>
      <c r="H202" s="70" t="str">
        <f t="shared" si="68"/>
        <v/>
      </c>
      <c r="I202" s="27"/>
    </row>
    <row r="203" spans="2:12" ht="15.6">
      <c r="B203" s="8"/>
      <c r="C203" s="9" t="s">
        <v>24</v>
      </c>
      <c r="D203" s="6" t="str">
        <f>IF(D15=""," ",D15)</f>
        <v xml:space="preserve"> </v>
      </c>
      <c r="E203" s="10"/>
      <c r="F203" s="70" t="str">
        <f t="shared" ref="F203:H203" si="69">IF($L$2&gt;4,ROUND(SUM(F156+(F156*$L$10)),0),"")</f>
        <v/>
      </c>
      <c r="G203" s="70" t="str">
        <f t="shared" si="69"/>
        <v/>
      </c>
      <c r="H203" s="70" t="str">
        <f t="shared" si="69"/>
        <v/>
      </c>
      <c r="I203" s="27"/>
    </row>
    <row r="204" spans="2:12" ht="15.6">
      <c r="B204" s="8"/>
      <c r="C204" s="9" t="s">
        <v>25</v>
      </c>
      <c r="D204" s="6" t="s">
        <v>48</v>
      </c>
      <c r="E204" s="10"/>
      <c r="F204" s="70" t="str">
        <f t="shared" ref="F204:H204" si="70">IF($L$2&gt;4,ROUND(SUM(F157+(F157*$L$10)),0),"")</f>
        <v/>
      </c>
      <c r="G204" s="70" t="str">
        <f t="shared" si="70"/>
        <v/>
      </c>
      <c r="H204" s="70" t="str">
        <f t="shared" si="70"/>
        <v/>
      </c>
      <c r="I204" s="27"/>
    </row>
    <row r="205" spans="2:12" ht="15.6">
      <c r="B205" s="8" t="s">
        <v>33</v>
      </c>
      <c r="C205" s="58" t="s">
        <v>74</v>
      </c>
      <c r="D205" s="6"/>
      <c r="E205" s="10"/>
      <c r="F205" s="69"/>
      <c r="G205" s="69"/>
      <c r="H205" s="69"/>
      <c r="I205" s="27"/>
    </row>
    <row r="206" spans="2:12" ht="15.6">
      <c r="B206" s="8"/>
      <c r="C206" s="67" t="s">
        <v>1</v>
      </c>
      <c r="D206" s="6" t="s">
        <v>30</v>
      </c>
      <c r="E206" s="10"/>
      <c r="F206" s="70" t="str">
        <f t="shared" ref="F206:H207" si="71">IF($L$2&gt;4,ROUND(SUM(F159+(F159*$L$10)),0),"")</f>
        <v/>
      </c>
      <c r="G206" s="70" t="str">
        <f t="shared" si="71"/>
        <v/>
      </c>
      <c r="H206" s="70" t="str">
        <f t="shared" si="71"/>
        <v/>
      </c>
      <c r="I206" s="27"/>
    </row>
    <row r="207" spans="2:12" ht="15.6">
      <c r="B207" s="8"/>
      <c r="C207" s="9" t="s">
        <v>2</v>
      </c>
      <c r="D207" s="6" t="s">
        <v>31</v>
      </c>
      <c r="E207" s="10"/>
      <c r="F207" s="70" t="str">
        <f t="shared" si="71"/>
        <v/>
      </c>
      <c r="G207" s="70" t="str">
        <f t="shared" si="71"/>
        <v/>
      </c>
      <c r="H207" s="70" t="str">
        <f t="shared" si="71"/>
        <v/>
      </c>
      <c r="I207" s="21">
        <v>0</v>
      </c>
    </row>
    <row r="208" spans="2:12" ht="15.6">
      <c r="B208" s="8"/>
      <c r="C208" s="9" t="s">
        <v>3</v>
      </c>
      <c r="D208" s="6" t="s">
        <v>26</v>
      </c>
      <c r="E208" s="5"/>
      <c r="F208" s="70" t="str">
        <f>IF($L$2&gt;4,ROUND(SUM(F161+(F161*$L$10)),0),"")</f>
        <v/>
      </c>
      <c r="G208" s="69"/>
      <c r="H208" s="70" t="str">
        <f t="shared" ref="H208" si="72">IF($L$2&gt;4,ROUND(SUM(H161+(H161*$L$10)),0),"")</f>
        <v/>
      </c>
      <c r="I208" s="27"/>
    </row>
    <row r="209" spans="2:18" ht="15.6">
      <c r="B209" s="8"/>
      <c r="C209" s="9" t="s">
        <v>4</v>
      </c>
      <c r="D209" s="6" t="s">
        <v>27</v>
      </c>
      <c r="E209" s="6"/>
      <c r="F209" s="70" t="str">
        <f>IF($L$2&gt;4,ROUND(SUM(F162+(F162*$L$10)),0),"")</f>
        <v/>
      </c>
      <c r="G209" s="70" t="str">
        <f>IF($L$2&gt;4,ROUND(SUM(G162+(G162*$L$10)),0),"")</f>
        <v/>
      </c>
      <c r="H209" s="70" t="str">
        <f t="shared" ref="H209" si="73">IF($L$2&gt;4,ROUND(SUM(H162+(H162*$L$10)),0),"")</f>
        <v/>
      </c>
      <c r="I209" s="27"/>
      <c r="M209" s="100" t="s">
        <v>109</v>
      </c>
      <c r="Q209" s="100" t="s">
        <v>110</v>
      </c>
    </row>
    <row r="210" spans="2:18" ht="31.8">
      <c r="B210" s="7"/>
      <c r="C210" s="59" t="s">
        <v>24</v>
      </c>
      <c r="D210" s="5" t="s">
        <v>81</v>
      </c>
      <c r="E210" s="5"/>
      <c r="F210" s="70">
        <v>0</v>
      </c>
      <c r="G210" s="70">
        <v>0</v>
      </c>
      <c r="H210" s="70">
        <v>0</v>
      </c>
      <c r="I210" s="27"/>
      <c r="L210" s="99" t="s">
        <v>104</v>
      </c>
      <c r="M210" s="100" t="s">
        <v>108</v>
      </c>
      <c r="N210" s="101"/>
      <c r="P210" s="99" t="s">
        <v>104</v>
      </c>
      <c r="Q210" s="100" t="s">
        <v>108</v>
      </c>
    </row>
    <row r="211" spans="2:18" ht="15.6">
      <c r="B211" s="8" t="s">
        <v>5</v>
      </c>
      <c r="C211" s="6" t="s">
        <v>37</v>
      </c>
      <c r="D211" s="6"/>
      <c r="E211" s="5"/>
      <c r="F211" s="70" t="str">
        <f>IF($L$2&gt;4,SUM(F199:F210),"")</f>
        <v/>
      </c>
      <c r="G211" s="70" t="str">
        <f t="shared" ref="G211:I211" si="74">IF($L$2&gt;4,SUM(G199:G210),"")</f>
        <v/>
      </c>
      <c r="H211" s="70" t="str">
        <f t="shared" si="74"/>
        <v/>
      </c>
      <c r="I211" s="70" t="str">
        <f t="shared" si="74"/>
        <v/>
      </c>
      <c r="L211" s="102" t="s">
        <v>105</v>
      </c>
      <c r="M211" s="103" t="str">
        <f>IF($L$2&gt;4,M162,"")</f>
        <v/>
      </c>
      <c r="N211" s="104" t="str">
        <f>IF($L$2&gt;4,(M211/12)*2249,"")</f>
        <v/>
      </c>
      <c r="P211" s="102" t="s">
        <v>105</v>
      </c>
      <c r="Q211" s="103" t="str">
        <f>IF($L$2&gt;4,Q162,"")</f>
        <v/>
      </c>
      <c r="R211" s="104" t="str">
        <f>IF($L$2&gt;4,(Q211/12)*2249,"")</f>
        <v/>
      </c>
    </row>
    <row r="212" spans="2:18" ht="15.6">
      <c r="B212" s="8" t="s">
        <v>6</v>
      </c>
      <c r="C212" s="6" t="s">
        <v>77</v>
      </c>
      <c r="D212" s="6"/>
      <c r="E212" s="53"/>
      <c r="F212" s="69"/>
      <c r="G212" s="69"/>
      <c r="H212" s="69"/>
      <c r="I212" s="27"/>
      <c r="L212" s="102" t="s">
        <v>106</v>
      </c>
      <c r="M212" s="103" t="str">
        <f>IF($L$2&gt;4,M163,"")</f>
        <v/>
      </c>
      <c r="N212" s="104" t="str">
        <f>IF($L$2&gt;4,(M212/9)*1731,"")</f>
        <v/>
      </c>
      <c r="P212" s="102" t="s">
        <v>106</v>
      </c>
      <c r="Q212" s="103" t="str">
        <f>IF($L$2&gt;4,Q163,"")</f>
        <v/>
      </c>
      <c r="R212" s="104" t="str">
        <f>IF($L$2&gt;4,(Q212/9)*1731,"")</f>
        <v/>
      </c>
    </row>
    <row r="213" spans="2:18" ht="15.6">
      <c r="B213" s="8"/>
      <c r="C213" s="6" t="s">
        <v>83</v>
      </c>
      <c r="D213" s="6"/>
      <c r="E213" s="66">
        <v>0.4</v>
      </c>
      <c r="F213" s="70" t="str">
        <f>IF($L$2&gt;4,ROUND(($E$213)*SUM(F199:F207),0),"")</f>
        <v/>
      </c>
      <c r="G213" s="70" t="str">
        <f t="shared" ref="G213:H213" si="75">IF($L$2&gt;4,ROUND(($E$213)*SUM(G199:G207),0),"")</f>
        <v/>
      </c>
      <c r="H213" s="70" t="str">
        <f t="shared" si="75"/>
        <v/>
      </c>
      <c r="I213" s="21">
        <v>0</v>
      </c>
      <c r="L213" s="102" t="s">
        <v>107</v>
      </c>
      <c r="M213" s="103" t="str">
        <f>IF($L$2&gt;4,M164,"")</f>
        <v/>
      </c>
      <c r="N213" s="104" t="str">
        <f>IF($L$2&gt;4,(M213/3)*518,"")</f>
        <v/>
      </c>
      <c r="P213" s="102" t="s">
        <v>107</v>
      </c>
      <c r="Q213" s="103" t="str">
        <f>IF($L$2&gt;4,Q164,"")</f>
        <v/>
      </c>
      <c r="R213" s="104" t="str">
        <f>IF($L$2&gt;4,(Q213/3)*518,"")</f>
        <v/>
      </c>
    </row>
    <row r="214" spans="2:18" ht="15.6">
      <c r="B214" s="8"/>
      <c r="C214" s="6" t="s">
        <v>84</v>
      </c>
      <c r="D214" s="6"/>
      <c r="E214" s="63">
        <v>7.6499999999999999E-2</v>
      </c>
      <c r="F214" s="70" t="str">
        <f>IF($L$2&gt;4,ROUND($E$214*F210,0),"")</f>
        <v/>
      </c>
      <c r="G214" s="70" t="str">
        <f t="shared" ref="G214:H214" si="76">IF($L$2&gt;4,ROUND($E$214*G210,0),"")</f>
        <v/>
      </c>
      <c r="H214" s="70" t="str">
        <f t="shared" si="76"/>
        <v/>
      </c>
      <c r="I214" s="27"/>
      <c r="L214" s="101"/>
      <c r="M214" s="101"/>
      <c r="N214" s="104" t="str">
        <f>IF($L$2&gt;4,SUM(N211:N213),"")</f>
        <v/>
      </c>
      <c r="R214" s="104" t="str">
        <f>IF($L$2&gt;4,SUM(R211:R213),"")</f>
        <v/>
      </c>
    </row>
    <row r="215" spans="2:18" ht="15.6">
      <c r="B215" s="8"/>
      <c r="C215" s="6" t="s">
        <v>26</v>
      </c>
      <c r="D215" s="6"/>
      <c r="E215" s="63"/>
      <c r="F215" s="70" t="str">
        <f>N214</f>
        <v/>
      </c>
      <c r="G215" s="107"/>
      <c r="H215" s="70" t="str">
        <f>R214</f>
        <v/>
      </c>
      <c r="I215" s="27"/>
    </row>
    <row r="216" spans="2:18" ht="15.6">
      <c r="B216" s="8" t="s">
        <v>7</v>
      </c>
      <c r="C216" s="6" t="s">
        <v>78</v>
      </c>
      <c r="D216" s="6"/>
      <c r="E216" s="63"/>
      <c r="F216" s="70" t="str">
        <f>IF($L$2&gt;4,SUM(F213:F215),"")</f>
        <v/>
      </c>
      <c r="G216" s="70" t="str">
        <f t="shared" ref="G216:I216" si="77">IF($L$2&gt;4,SUM(G213:G215),"")</f>
        <v/>
      </c>
      <c r="H216" s="70" t="str">
        <f t="shared" si="77"/>
        <v/>
      </c>
      <c r="I216" s="70" t="str">
        <f t="shared" si="77"/>
        <v/>
      </c>
      <c r="N216" s="39" t="s">
        <v>61</v>
      </c>
    </row>
    <row r="217" spans="2:18" ht="15.6">
      <c r="B217" s="8" t="s">
        <v>8</v>
      </c>
      <c r="C217" s="5" t="s">
        <v>38</v>
      </c>
      <c r="D217" s="6"/>
      <c r="E217" s="10"/>
      <c r="F217" s="70" t="str">
        <f>IF($L$2&gt;4,SUM(F211+F216),"")</f>
        <v/>
      </c>
      <c r="G217" s="70" t="str">
        <f t="shared" ref="G217:I217" si="78">IF($L$2&gt;4,SUM(G211+G216),"")</f>
        <v/>
      </c>
      <c r="H217" s="70" t="str">
        <f t="shared" si="78"/>
        <v/>
      </c>
      <c r="I217" s="70" t="str">
        <f t="shared" si="78"/>
        <v/>
      </c>
      <c r="L217" s="40" t="s">
        <v>55</v>
      </c>
      <c r="N217" s="39" t="s">
        <v>62</v>
      </c>
    </row>
    <row r="218" spans="2:18" ht="15.6">
      <c r="B218" s="7" t="s">
        <v>9</v>
      </c>
      <c r="C218" s="5" t="s">
        <v>28</v>
      </c>
      <c r="D218" s="6"/>
      <c r="E218" s="12"/>
      <c r="F218" s="70" t="str">
        <f t="shared" ref="F218:H220" si="79">IF($L$2&gt;4,ROUND(SUM(F171+(F171*$L$13)),0),"")</f>
        <v/>
      </c>
      <c r="G218" s="70" t="str">
        <f t="shared" si="79"/>
        <v/>
      </c>
      <c r="H218" s="70" t="str">
        <f t="shared" si="79"/>
        <v/>
      </c>
      <c r="I218" s="21">
        <v>0</v>
      </c>
      <c r="L218" s="40" t="s">
        <v>56</v>
      </c>
      <c r="M218" s="38" t="s">
        <v>60</v>
      </c>
      <c r="N218" s="39" t="s">
        <v>63</v>
      </c>
    </row>
    <row r="219" spans="2:18" ht="15.6">
      <c r="B219" s="13" t="s">
        <v>10</v>
      </c>
      <c r="C219" s="14" t="s">
        <v>19</v>
      </c>
      <c r="D219" s="2"/>
      <c r="E219" s="10"/>
      <c r="F219" s="70" t="str">
        <f t="shared" si="79"/>
        <v/>
      </c>
      <c r="G219" s="70" t="str">
        <f t="shared" si="79"/>
        <v/>
      </c>
      <c r="H219" s="70" t="str">
        <f t="shared" si="79"/>
        <v/>
      </c>
      <c r="I219" s="21">
        <v>0</v>
      </c>
      <c r="L219" s="32" t="str">
        <f>IF($L$2&gt;4,$L$36,"Subcontract 1:")</f>
        <v>Subcontract 1:</v>
      </c>
      <c r="M219" s="35"/>
      <c r="N219" s="41">
        <f>IF(M219+N36+N81+N128+N171&gt;=25000,25000-(N36+N81+N128+N171),M219)</f>
        <v>0</v>
      </c>
    </row>
    <row r="220" spans="2:18" ht="15.6">
      <c r="B220" s="8" t="s">
        <v>11</v>
      </c>
      <c r="C220" s="15" t="s">
        <v>34</v>
      </c>
      <c r="D220" s="6"/>
      <c r="E220" s="10"/>
      <c r="F220" s="70" t="str">
        <f t="shared" si="79"/>
        <v/>
      </c>
      <c r="G220" s="70" t="str">
        <f t="shared" si="79"/>
        <v/>
      </c>
      <c r="H220" s="70" t="str">
        <f t="shared" si="79"/>
        <v/>
      </c>
      <c r="I220" s="21">
        <v>0</v>
      </c>
      <c r="L220" s="33" t="str">
        <f>IF($L$2&gt;4,$L$37,"Subcontract 2:")</f>
        <v>Subcontract 2:</v>
      </c>
      <c r="M220" s="36"/>
      <c r="N220" s="41">
        <f>IF(M220+N37+N82+N129+N172&gt;=25000,25000-(N37+N82+N129+N172),M220)</f>
        <v>0</v>
      </c>
    </row>
    <row r="221" spans="2:18" ht="15.6">
      <c r="B221" s="8" t="s">
        <v>12</v>
      </c>
      <c r="C221" s="15" t="s">
        <v>35</v>
      </c>
      <c r="D221" s="6"/>
      <c r="E221" s="10"/>
      <c r="F221" s="71"/>
      <c r="G221" s="71"/>
      <c r="H221" s="71"/>
      <c r="I221" s="28"/>
      <c r="L221" s="33" t="str">
        <f>IF($L$2&gt;4,$L$38,"Subcontract 3:")</f>
        <v>Subcontract 3:</v>
      </c>
      <c r="M221" s="36"/>
      <c r="N221" s="41">
        <f>IF(M221+N38+N83+N130+N173&gt;=25000,25000-(N38+N83+N130+N173),M221)</f>
        <v>0</v>
      </c>
    </row>
    <row r="222" spans="2:18" ht="15.6">
      <c r="B222" s="22"/>
      <c r="C222" s="15" t="s">
        <v>39</v>
      </c>
      <c r="D222" s="6"/>
      <c r="E222" s="10"/>
      <c r="F222" s="70" t="str">
        <f>IF($L$2&gt;4,SUM(M219:M222),"")</f>
        <v/>
      </c>
      <c r="G222" s="70">
        <v>0</v>
      </c>
      <c r="H222" s="70">
        <v>0</v>
      </c>
      <c r="I222" s="28"/>
      <c r="L222" s="34" t="str">
        <f>IF($L$2&gt;4,$L$39,"Subcontract 4:")</f>
        <v>Subcontract 4:</v>
      </c>
      <c r="M222" s="37"/>
      <c r="N222" s="41">
        <f>IF(M222+N39+N84+N131+N174&gt;=25000,25000-(N39+N84+N131+N174),M222)</f>
        <v>0</v>
      </c>
    </row>
    <row r="223" spans="2:18" ht="15.6">
      <c r="B223" s="8"/>
      <c r="C223" s="15" t="s">
        <v>40</v>
      </c>
      <c r="D223" s="6"/>
      <c r="E223" s="10"/>
      <c r="F223" s="70" t="str">
        <f>IF($L$2&gt;4,ROUND(SUM(F176+(F176*$L$13)),0),"")</f>
        <v/>
      </c>
      <c r="G223" s="70" t="str">
        <f t="shared" ref="G223:H223" si="80">IF($L$2&gt;4,ROUND(SUM(G176+(G176*$L$13)),0),"")</f>
        <v/>
      </c>
      <c r="H223" s="70" t="str">
        <f t="shared" si="80"/>
        <v/>
      </c>
      <c r="I223" s="21">
        <v>0</v>
      </c>
    </row>
    <row r="224" spans="2:18" ht="15.6">
      <c r="B224" s="8"/>
      <c r="C224" s="15" t="s">
        <v>76</v>
      </c>
      <c r="D224" s="6"/>
      <c r="E224" s="10"/>
      <c r="F224" s="70" t="str">
        <f t="shared" ref="F224:H224" si="81">IF($L$2&gt;4,ROUND(SUM(F177+(F177*$L$13)),0),"")</f>
        <v/>
      </c>
      <c r="G224" s="70" t="str">
        <f t="shared" si="81"/>
        <v/>
      </c>
      <c r="H224" s="70" t="str">
        <f t="shared" si="81"/>
        <v/>
      </c>
      <c r="I224" s="21">
        <v>0</v>
      </c>
    </row>
    <row r="225" spans="1:11" ht="15.6">
      <c r="B225" s="8" t="s">
        <v>13</v>
      </c>
      <c r="C225" s="15" t="s">
        <v>36</v>
      </c>
      <c r="D225" s="6"/>
      <c r="E225" s="10"/>
      <c r="F225" s="70" t="str">
        <f t="shared" ref="F225:H225" si="82">IF($L$2&gt;4,ROUND(SUM(F178+(F178*$L$13)),0),"")</f>
        <v/>
      </c>
      <c r="G225" s="70" t="str">
        <f t="shared" si="82"/>
        <v/>
      </c>
      <c r="H225" s="70" t="str">
        <f t="shared" si="82"/>
        <v/>
      </c>
      <c r="I225" s="21">
        <v>0</v>
      </c>
    </row>
    <row r="226" spans="1:11" ht="15.6">
      <c r="B226" s="8" t="s">
        <v>14</v>
      </c>
      <c r="C226" s="6" t="s">
        <v>18</v>
      </c>
      <c r="D226" s="6"/>
      <c r="E226" s="10"/>
      <c r="F226" s="70">
        <v>0</v>
      </c>
      <c r="G226" s="70">
        <v>0</v>
      </c>
      <c r="H226" s="70">
        <v>0</v>
      </c>
      <c r="I226" s="21">
        <v>0</v>
      </c>
    </row>
    <row r="227" spans="1:11" ht="15.6">
      <c r="B227" s="8" t="s">
        <v>15</v>
      </c>
      <c r="C227" s="6" t="s">
        <v>101</v>
      </c>
      <c r="D227" s="6"/>
      <c r="E227" s="10"/>
      <c r="F227" s="70">
        <v>0</v>
      </c>
      <c r="G227" s="70">
        <v>0</v>
      </c>
      <c r="H227" s="70">
        <v>0</v>
      </c>
      <c r="I227" s="21">
        <v>0</v>
      </c>
    </row>
    <row r="228" spans="1:11" ht="15.6">
      <c r="B228" s="8" t="s">
        <v>75</v>
      </c>
      <c r="C228" s="58" t="s">
        <v>96</v>
      </c>
      <c r="D228" s="68"/>
      <c r="E228" s="95">
        <v>0.38</v>
      </c>
      <c r="F228" s="70" t="str">
        <f>IF($L$2&gt;4,F208*E228,"")</f>
        <v/>
      </c>
      <c r="G228" s="71"/>
      <c r="H228" s="70" t="str">
        <f>IF($L$2&gt;4,H208*E228,"")</f>
        <v/>
      </c>
      <c r="I228" s="28"/>
    </row>
    <row r="229" spans="1:11" ht="15.6">
      <c r="B229" s="11" t="s">
        <v>79</v>
      </c>
      <c r="C229" s="2" t="s">
        <v>29</v>
      </c>
      <c r="D229" s="2"/>
      <c r="E229" s="16"/>
      <c r="F229" s="70" t="str">
        <f>IF($L$2&gt;4,SUM(F217:F228),"")</f>
        <v/>
      </c>
      <c r="G229" s="70" t="str">
        <f t="shared" ref="G229:I229" si="83">IF($L$2&gt;4,SUM(G217:G228),"")</f>
        <v/>
      </c>
      <c r="H229" s="70" t="str">
        <f t="shared" si="83"/>
        <v/>
      </c>
      <c r="I229" s="70" t="str">
        <f t="shared" si="83"/>
        <v/>
      </c>
      <c r="J229" s="56"/>
    </row>
    <row r="230" spans="1:11" ht="15.6">
      <c r="B230" s="8" t="s">
        <v>80</v>
      </c>
      <c r="C230" s="6" t="s">
        <v>41</v>
      </c>
      <c r="D230" s="6"/>
      <c r="E230" s="2"/>
      <c r="F230" s="71"/>
      <c r="G230" s="71"/>
      <c r="H230" s="71"/>
      <c r="I230" s="28"/>
      <c r="J230" s="56"/>
    </row>
    <row r="231" spans="1:11" ht="15.6">
      <c r="B231" s="30" t="s">
        <v>42</v>
      </c>
      <c r="C231" s="23">
        <f>C43</f>
        <v>0.5</v>
      </c>
      <c r="D231" s="65" t="s">
        <v>43</v>
      </c>
      <c r="E231" s="24" t="str">
        <f>IF($L$2&gt;4,(IF($N$219&gt;25000,"25000",$N$219)+IF($N$220&gt;25000,"25000",$N$220)+IF($N$221&gt;25000,"25000",$N$221)+IF($N$222&gt;25000,"25000",$N$222)+$F$229-$F$222-$F$226-$F$228-$F$227),"")</f>
        <v/>
      </c>
      <c r="F231" s="70" t="str">
        <f>IF(L2&gt;4,((ROUND(((ROUND((F199*$E$213)+(F199),0))*$C$231),0)+(ROUND(((ROUND((F200*$E$213)+(F200),0))*$C$231),0)+(ROUND(((ROUND((F201*$E$213)+(F201),0))*$C$231),0)+(ROUND(((ROUND((F202*$E$213)+(F202),0))*$C$231),0)+(ROUND(((ROUND((F203*$E$213)+(F203),0))*$C$231),0)+(ROUND(((ROUND((F204*$E$213)+(F204),0))*$C$231),0)+(ROUND(((ROUND((F206*$E$213)+(F206),0))*$C$231),0)+(ROUND(((ROUND((F207*$E$213)+(F207),0))*$C$231),0)+(ROUND((((F215)+(F208))*$C$231),0))+(ROUND(((F209)*$C$231),0))+(ROUND(((ROUND((F210*$E$214)+(F210),0))*$C$231),0)+(ROUND(((F218)*$C$231),0))+(ROUND(((F219)*$C$231),0))+(ROUND(((F220)*$C$231),0))+(ROUND(((IF($N$219&gt;25000,"25000",$N$219)+IF($N$220&gt;25000,"25000",$N$220)+IF($N$221&gt;25000,"25000",$N$221)+IF($N$222&gt;25000,"25000",$N$222))*$C$231),0))+(ROUND(((F223)*$C$231),0))+(ROUND(((F224)*$C$231),0))+(ROUND(((F225)*$C$231),0)))))))))))),"")</f>
        <v/>
      </c>
      <c r="G231" s="70" t="str">
        <f>IF(L2&gt;4,((ROUND(((ROUND((G199*$E$213)+(G199),0))*$L$43),0)+(ROUND(((ROUND((G200*$E$213)+(G200),0))*$L$43),0)+(ROUND(((ROUND((G201*$E$213)+(G201),0))*$L$43),0)+(ROUND(((ROUND((G202*$E$213)+(G202),0))*$L$43),0)+(ROUND(((ROUND((G203*$E$213)+(G203),0))*$L$43),0)+(ROUND(((ROUND((G204*$E$213)+(G204),0))*$L$43),0)+(ROUND(((ROUND((G206*$E$213)+(G206),0))*$L$43),0)+(ROUND(((ROUND((G207*$E$213)+(G207),0))*$L$43),0)+(ROUND((((G215)+(G208))*$L$43),0))+(ROUND(((G209)*$L$43),0))+(ROUND(((ROUND((G210*$E$214)+(G210),0))*$L$43),0)+(ROUND(((G218)*$L$43),0))+(ROUND(((G219)*$L$43),0))+(ROUND(((G220)*$L$43),0))+(ROUND(((G223)*$L$43),0))+(ROUND(((G224)*$L$43),0))+(ROUND(((G225)*$L$43),0)))))))))))),"")</f>
        <v/>
      </c>
      <c r="H231" s="70" t="str">
        <f>IF(L2&gt;4,((ROUND(((ROUND((H199*$E$213)+(H199),0))*$L$43),0)+(ROUND(((ROUND((H200*$E$213)+(H200),0))*$L$43),0)+(ROUND(((ROUND((H201*$E$213)+(H201),0))*$L$43),0)+(ROUND(((ROUND((H202*$E$213)+(H202),0))*$L$43),0)+(ROUND(((ROUND((H203*$E$213)+(H203),0))*$L$43),0)+(ROUND(((ROUND((H204*$E$213)+(H204),0))*$L$43),0)+(ROUND(((ROUND((H206*$E$213)+(H206),0))*$L$43),0)+(ROUND(((ROUND((H207*$E$213)+(H207),0))*$L$43),0)+(ROUND((((H215)+(H208))*$L$43),0))+(ROUND(((H209)*$L$43),0))+(ROUND(((ROUND((H210*$E$214)+(H210),0))*$L$43),0)+(ROUND(((H218)*$L$43),0))+(ROUND(((H219)*$L$43),0))+(ROUND(((H220)*$L$43),0))+(ROUND(((H223)*$L$43),0))+(ROUND(((H224)*$L$43),0))+(ROUND(((H225)*$L$43),0)))))))))))),"")</f>
        <v/>
      </c>
      <c r="I231" s="28"/>
      <c r="J231" s="62"/>
      <c r="K231" s="62"/>
    </row>
    <row r="232" spans="1:11" ht="15.6">
      <c r="B232" s="30"/>
      <c r="C232" s="72"/>
      <c r="D232" s="73" t="s">
        <v>90</v>
      </c>
      <c r="E232" s="74"/>
      <c r="F232" s="71"/>
      <c r="G232" s="70">
        <v>0</v>
      </c>
      <c r="H232" s="71"/>
      <c r="I232" s="28"/>
      <c r="J232" s="97"/>
      <c r="K232" s="97"/>
    </row>
    <row r="233" spans="1:11" ht="16.2" thickBot="1">
      <c r="A233" s="57"/>
      <c r="B233" s="29" t="s">
        <v>98</v>
      </c>
      <c r="C233" s="17" t="s">
        <v>32</v>
      </c>
      <c r="D233" s="18"/>
      <c r="E233" s="19"/>
      <c r="F233" s="77" t="str">
        <f>IF($L$2&gt;4,SUM(F229:F232),"")</f>
        <v/>
      </c>
      <c r="G233" s="77" t="str">
        <f t="shared" ref="G233:I233" si="84">IF($L$2&gt;4,SUM(G229:G232),"")</f>
        <v/>
      </c>
      <c r="H233" s="77" t="str">
        <f t="shared" si="84"/>
        <v/>
      </c>
      <c r="I233" s="77" t="str">
        <f t="shared" si="84"/>
        <v/>
      </c>
      <c r="J233" s="97"/>
      <c r="K233" s="97"/>
    </row>
    <row r="234" spans="1:11" ht="15.75" customHeight="1">
      <c r="A234" s="57"/>
      <c r="B234" s="57" t="s">
        <v>99</v>
      </c>
      <c r="D234" s="2"/>
      <c r="E234" s="2"/>
      <c r="F234" s="2"/>
      <c r="G234" s="2"/>
      <c r="H234" s="2"/>
      <c r="I234" s="2"/>
      <c r="J234" s="78"/>
      <c r="K234" s="78"/>
    </row>
    <row r="235" spans="1:11" ht="15.6">
      <c r="A235" s="57"/>
      <c r="B235" s="57"/>
      <c r="C235" s="57" t="s">
        <v>100</v>
      </c>
      <c r="D235" s="2"/>
      <c r="E235" s="2"/>
      <c r="F235" s="2"/>
      <c r="G235" s="2"/>
      <c r="H235" s="2"/>
      <c r="I235" s="2"/>
      <c r="J235" s="62"/>
      <c r="K235" s="20"/>
    </row>
    <row r="236" spans="1:11" ht="15.6">
      <c r="A236" s="57"/>
      <c r="B236" s="57"/>
      <c r="C236" s="57"/>
      <c r="D236" s="2"/>
      <c r="E236" s="2"/>
      <c r="F236" s="2"/>
      <c r="G236" s="2"/>
      <c r="H236" s="2"/>
      <c r="I236" s="2"/>
      <c r="J236" s="62"/>
      <c r="K236" s="20"/>
    </row>
    <row r="237" spans="1:11" ht="15.6">
      <c r="A237" s="114" t="s">
        <v>16</v>
      </c>
      <c r="B237" s="114"/>
      <c r="C237" s="114"/>
      <c r="D237" s="114"/>
      <c r="E237" s="114"/>
      <c r="F237" s="114"/>
      <c r="G237" s="114"/>
      <c r="H237" s="114"/>
      <c r="I237" s="114"/>
      <c r="J237" s="114"/>
    </row>
    <row r="238" spans="1:11" ht="15.6">
      <c r="A238" s="111" t="s">
        <v>20</v>
      </c>
      <c r="B238" s="111"/>
      <c r="C238" s="111"/>
      <c r="D238" s="111"/>
      <c r="E238" s="111"/>
      <c r="F238" s="111"/>
      <c r="G238" s="111"/>
      <c r="H238" s="111"/>
      <c r="I238" s="111"/>
      <c r="J238" s="111"/>
    </row>
    <row r="239" spans="1:11" ht="17.25" customHeight="1">
      <c r="A239" s="111" t="s">
        <v>49</v>
      </c>
      <c r="B239" s="111"/>
      <c r="C239" s="111"/>
      <c r="D239" s="111"/>
      <c r="E239" s="111"/>
      <c r="F239" s="111"/>
      <c r="G239" s="111"/>
      <c r="H239" s="111"/>
      <c r="I239" s="111"/>
      <c r="J239" s="111"/>
    </row>
    <row r="240" spans="1:11" ht="36.75" customHeight="1">
      <c r="C240" s="4" t="s">
        <v>22</v>
      </c>
      <c r="E240" s="112" t="str">
        <f>IF($L$2,E5,"")</f>
        <v>(Insert project title here.  Sheet will auto-fill on subsequent years/composite)</v>
      </c>
      <c r="F240" s="112"/>
      <c r="G240" s="112"/>
      <c r="H240" s="112"/>
      <c r="I240" s="112"/>
    </row>
    <row r="241" spans="2:9" ht="15.6">
      <c r="B241" s="4"/>
      <c r="C241" s="44" t="s">
        <v>21</v>
      </c>
      <c r="E241" s="58" t="str">
        <f>IF($L$2,E6,"")</f>
        <v>(Insert investigator(s) here.  Sheet will auto-fill on subsequent years/composite)</v>
      </c>
      <c r="F241" s="58"/>
      <c r="G241" s="58"/>
      <c r="H241" s="58"/>
      <c r="I241" s="58"/>
    </row>
    <row r="243" spans="2:9" ht="13.8" thickBot="1"/>
    <row r="244" spans="2:9" ht="31.8" thickBot="1">
      <c r="B244" s="2"/>
      <c r="C244" s="2"/>
      <c r="D244" s="2"/>
      <c r="E244" s="2"/>
      <c r="F244" s="60" t="s">
        <v>23</v>
      </c>
      <c r="G244" s="60" t="s">
        <v>88</v>
      </c>
      <c r="H244" s="60" t="s">
        <v>89</v>
      </c>
      <c r="I244" s="80" t="s">
        <v>94</v>
      </c>
    </row>
    <row r="245" spans="2:9" ht="15.6">
      <c r="B245" s="54" t="s">
        <v>0</v>
      </c>
      <c r="C245" s="61" t="s">
        <v>73</v>
      </c>
      <c r="D245" s="55"/>
      <c r="E245" s="55"/>
      <c r="F245" s="79"/>
      <c r="G245" s="83"/>
      <c r="H245" s="79"/>
      <c r="I245" s="52"/>
    </row>
    <row r="246" spans="2:9" ht="15.6">
      <c r="B246" s="8"/>
      <c r="C246" s="9" t="s">
        <v>1</v>
      </c>
      <c r="D246" s="6" t="str">
        <f>IF(D11=""," ",D11)</f>
        <v xml:space="preserve"> </v>
      </c>
      <c r="E246" s="10"/>
      <c r="F246" s="70">
        <f>F11+IF($L$2&gt;1,F58,0)+IF($L$2&gt;2,F105,0)+IF($L$2&gt;3,F152,0)+IF($L$2&gt;4,F199,0)</f>
        <v>0</v>
      </c>
      <c r="G246" s="70">
        <f t="shared" ref="G246:H246" si="85">G11+IF($L$2&gt;1,G58,0)+IF($L$2&gt;2,G105,0)+IF($L$2&gt;3,G152,0)+IF($L$2&gt;4,G199,0)</f>
        <v>0</v>
      </c>
      <c r="H246" s="70">
        <f t="shared" si="85"/>
        <v>0</v>
      </c>
      <c r="I246" s="27"/>
    </row>
    <row r="247" spans="2:9" ht="15.6">
      <c r="B247" s="8"/>
      <c r="C247" s="9" t="s">
        <v>2</v>
      </c>
      <c r="D247" s="6" t="str">
        <f>IF(D12=""," ",D12)</f>
        <v xml:space="preserve"> </v>
      </c>
      <c r="E247" s="10"/>
      <c r="F247" s="70">
        <f t="shared" ref="F247:H247" si="86">F12+IF($L$2&gt;1,F59,0)+IF($L$2&gt;2,F106,0)+IF($L$2&gt;3,F153,0)+IF($L$2&gt;4,F200,0)</f>
        <v>0</v>
      </c>
      <c r="G247" s="70">
        <f t="shared" si="86"/>
        <v>0</v>
      </c>
      <c r="H247" s="70">
        <f t="shared" si="86"/>
        <v>0</v>
      </c>
      <c r="I247" s="27"/>
    </row>
    <row r="248" spans="2:9" ht="15.6">
      <c r="B248" s="8"/>
      <c r="C248" s="9" t="s">
        <v>3</v>
      </c>
      <c r="D248" s="6" t="str">
        <f>IF(D13=""," ",D13)</f>
        <v xml:space="preserve"> </v>
      </c>
      <c r="E248" s="10"/>
      <c r="F248" s="70">
        <f t="shared" ref="F248:H248" si="87">F13+IF($L$2&gt;1,F60,0)+IF($L$2&gt;2,F107,0)+IF($L$2&gt;3,F154,0)+IF($L$2&gt;4,F201,0)</f>
        <v>0</v>
      </c>
      <c r="G248" s="70">
        <f t="shared" si="87"/>
        <v>0</v>
      </c>
      <c r="H248" s="70">
        <f t="shared" si="87"/>
        <v>0</v>
      </c>
      <c r="I248" s="27"/>
    </row>
    <row r="249" spans="2:9" ht="15.6">
      <c r="B249" s="8"/>
      <c r="C249" s="9" t="s">
        <v>4</v>
      </c>
      <c r="D249" s="6" t="str">
        <f>IF(D14=""," ",D14)</f>
        <v xml:space="preserve"> </v>
      </c>
      <c r="E249" s="10"/>
      <c r="F249" s="70">
        <f t="shared" ref="F249:H249" si="88">F14+IF($L$2&gt;1,F61,0)+IF($L$2&gt;2,F108,0)+IF($L$2&gt;3,F155,0)+IF($L$2&gt;4,F202,0)</f>
        <v>0</v>
      </c>
      <c r="G249" s="70">
        <f t="shared" si="88"/>
        <v>0</v>
      </c>
      <c r="H249" s="70">
        <f t="shared" si="88"/>
        <v>0</v>
      </c>
      <c r="I249" s="27"/>
    </row>
    <row r="250" spans="2:9" ht="15.6">
      <c r="B250" s="8"/>
      <c r="C250" s="9" t="s">
        <v>24</v>
      </c>
      <c r="D250" s="6" t="str">
        <f>IF(D15=""," ",D15)</f>
        <v xml:space="preserve"> </v>
      </c>
      <c r="E250" s="10"/>
      <c r="F250" s="70">
        <f t="shared" ref="F250:H250" si="89">F15+IF($L$2&gt;1,F62,0)+IF($L$2&gt;2,F109,0)+IF($L$2&gt;3,F156,0)+IF($L$2&gt;4,F203,0)</f>
        <v>0</v>
      </c>
      <c r="G250" s="70">
        <f t="shared" si="89"/>
        <v>0</v>
      </c>
      <c r="H250" s="70">
        <f t="shared" si="89"/>
        <v>0</v>
      </c>
      <c r="I250" s="27"/>
    </row>
    <row r="251" spans="2:9" ht="15.6">
      <c r="B251" s="8"/>
      <c r="C251" s="9" t="s">
        <v>25</v>
      </c>
      <c r="D251" s="6" t="s">
        <v>48</v>
      </c>
      <c r="E251" s="10"/>
      <c r="F251" s="70">
        <f t="shared" ref="F251:H251" si="90">F16+IF($L$2&gt;1,F63,0)+IF($L$2&gt;2,F110,0)+IF($L$2&gt;3,F157,0)+IF($L$2&gt;4,F204,0)</f>
        <v>0</v>
      </c>
      <c r="G251" s="70">
        <f t="shared" si="90"/>
        <v>0</v>
      </c>
      <c r="H251" s="70">
        <f t="shared" si="90"/>
        <v>0</v>
      </c>
      <c r="I251" s="27"/>
    </row>
    <row r="252" spans="2:9" ht="15.6">
      <c r="B252" s="8" t="s">
        <v>33</v>
      </c>
      <c r="C252" s="58" t="s">
        <v>74</v>
      </c>
      <c r="D252" s="6"/>
      <c r="E252" s="10"/>
      <c r="F252" s="84"/>
      <c r="G252" s="84"/>
      <c r="H252" s="84"/>
      <c r="I252" s="27"/>
    </row>
    <row r="253" spans="2:9" ht="15.6">
      <c r="B253" s="8"/>
      <c r="C253" s="67" t="s">
        <v>1</v>
      </c>
      <c r="D253" s="6" t="s">
        <v>30</v>
      </c>
      <c r="E253" s="10"/>
      <c r="F253" s="70">
        <f t="shared" ref="F253:H253" si="91">F18+IF($L$2&gt;1,F65,0)+IF($L$2&gt;2,F112,0)+IF($L$2&gt;3,F159,0)+IF($L$2&gt;4,F206,0)</f>
        <v>0</v>
      </c>
      <c r="G253" s="70">
        <f t="shared" si="91"/>
        <v>0</v>
      </c>
      <c r="H253" s="70">
        <f t="shared" si="91"/>
        <v>0</v>
      </c>
      <c r="I253" s="27"/>
    </row>
    <row r="254" spans="2:9" ht="15.6">
      <c r="B254" s="8"/>
      <c r="C254" s="9" t="s">
        <v>2</v>
      </c>
      <c r="D254" s="6" t="s">
        <v>31</v>
      </c>
      <c r="E254" s="10"/>
      <c r="F254" s="70">
        <f t="shared" ref="F254:I254" si="92">F19+IF($L$2&gt;1,F66,0)+IF($L$2&gt;2,F113,0)+IF($L$2&gt;3,F160,0)+IF($L$2&gt;4,F207,0)</f>
        <v>0</v>
      </c>
      <c r="G254" s="70">
        <f t="shared" si="92"/>
        <v>0</v>
      </c>
      <c r="H254" s="70">
        <f t="shared" si="92"/>
        <v>0</v>
      </c>
      <c r="I254" s="70">
        <f t="shared" si="92"/>
        <v>0</v>
      </c>
    </row>
    <row r="255" spans="2:9" ht="15.6">
      <c r="B255" s="8"/>
      <c r="C255" s="9" t="s">
        <v>3</v>
      </c>
      <c r="D255" s="6" t="s">
        <v>26</v>
      </c>
      <c r="E255" s="5"/>
      <c r="F255" s="70">
        <f t="shared" ref="F255" si="93">F20+IF($L$2&gt;1,F67,0)+IF($L$2&gt;2,F114,0)+IF($L$2&gt;3,F161,0)+IF($L$2&gt;4,F208,0)</f>
        <v>0</v>
      </c>
      <c r="G255" s="84"/>
      <c r="H255" s="70">
        <f t="shared" ref="H255" si="94">H20+IF($L$2&gt;1,H67,0)+IF($L$2&gt;2,H114,0)+IF($L$2&gt;3,H161,0)+IF($L$2&gt;4,H208,0)</f>
        <v>0</v>
      </c>
      <c r="I255" s="27"/>
    </row>
    <row r="256" spans="2:9" ht="15.6">
      <c r="B256" s="8"/>
      <c r="C256" s="9" t="s">
        <v>4</v>
      </c>
      <c r="D256" s="6" t="s">
        <v>27</v>
      </c>
      <c r="E256" s="6"/>
      <c r="F256" s="70">
        <f t="shared" ref="F256" si="95">F21+IF($L$2&gt;1,F68,0)+IF($L$2&gt;2,F115,0)+IF($L$2&gt;3,F162,0)+IF($L$2&gt;4,F209,0)</f>
        <v>0</v>
      </c>
      <c r="G256" s="70">
        <f t="shared" ref="G256:H256" si="96">G21+IF($L$2&gt;1,G68,0)+IF($L$2&gt;2,G115,0)+IF($L$2&gt;3,G162,0)+IF($L$2&gt;4,G209,0)</f>
        <v>0</v>
      </c>
      <c r="H256" s="70">
        <f t="shared" si="96"/>
        <v>0</v>
      </c>
      <c r="I256" s="27"/>
    </row>
    <row r="257" spans="2:13" ht="15.6">
      <c r="B257" s="7"/>
      <c r="C257" s="59" t="s">
        <v>24</v>
      </c>
      <c r="D257" s="5" t="s">
        <v>81</v>
      </c>
      <c r="E257" s="5"/>
      <c r="F257" s="70">
        <f t="shared" ref="F257:G257" si="97">F22+IF($L$2&gt;1,F69,0)+IF($L$2&gt;2,F116,0)+IF($L$2&gt;3,F163,0)+IF($L$2&gt;4,F210,0)</f>
        <v>0</v>
      </c>
      <c r="G257" s="70">
        <f t="shared" si="97"/>
        <v>0</v>
      </c>
      <c r="H257" s="70">
        <f t="shared" ref="H257" si="98">H22+IF($L$2&gt;1,H69,0)+IF($L$2&gt;2,H116,0)+IF($L$2&gt;3,H163,0)+IF($L$2&gt;4,H210,0)</f>
        <v>0</v>
      </c>
      <c r="I257" s="27"/>
    </row>
    <row r="258" spans="2:13" ht="15.6">
      <c r="B258" s="8" t="s">
        <v>5</v>
      </c>
      <c r="C258" s="6" t="s">
        <v>37</v>
      </c>
      <c r="D258" s="6"/>
      <c r="E258" s="5"/>
      <c r="F258" s="70">
        <f t="shared" ref="F258:G258" si="99">F23+IF($L$2&gt;1,F70,0)+IF($L$2&gt;2,F117,0)+IF($L$2&gt;3,F164,0)+IF($L$2&gt;4,F211,0)</f>
        <v>0</v>
      </c>
      <c r="G258" s="70">
        <f t="shared" si="99"/>
        <v>0</v>
      </c>
      <c r="H258" s="70">
        <f t="shared" ref="H258:I258" si="100">H23+IF($L$2&gt;1,H70,0)+IF($L$2&gt;2,H117,0)+IF($L$2&gt;3,H164,0)+IF($L$2&gt;4,H211,0)</f>
        <v>0</v>
      </c>
      <c r="I258" s="70">
        <f t="shared" si="100"/>
        <v>0</v>
      </c>
    </row>
    <row r="259" spans="2:13" ht="15.6">
      <c r="B259" s="8" t="s">
        <v>6</v>
      </c>
      <c r="C259" s="6" t="s">
        <v>77</v>
      </c>
      <c r="D259" s="6"/>
      <c r="E259" s="53"/>
      <c r="F259" s="85"/>
      <c r="G259" s="85"/>
      <c r="H259" s="69"/>
      <c r="I259" s="27"/>
    </row>
    <row r="260" spans="2:13" ht="15.6">
      <c r="B260" s="8"/>
      <c r="C260" s="6" t="s">
        <v>86</v>
      </c>
      <c r="D260" s="6"/>
      <c r="E260" s="53"/>
      <c r="F260" s="70">
        <f t="shared" ref="F260:I260" si="101">F25+IF($L$2&gt;1,F72,0)+IF($L$2&gt;2,F119,0)+IF($L$2&gt;3,F166,0)+IF($L$2&gt;4,F213,0)</f>
        <v>0</v>
      </c>
      <c r="G260" s="70">
        <f t="shared" si="101"/>
        <v>0</v>
      </c>
      <c r="H260" s="70">
        <f t="shared" si="101"/>
        <v>0</v>
      </c>
      <c r="I260" s="70">
        <f t="shared" si="101"/>
        <v>0</v>
      </c>
    </row>
    <row r="261" spans="2:13" ht="15.6">
      <c r="B261" s="8"/>
      <c r="C261" s="6" t="s">
        <v>85</v>
      </c>
      <c r="D261" s="6"/>
      <c r="E261" s="63"/>
      <c r="F261" s="70">
        <f t="shared" ref="F261:H261" si="102">F26+IF($L$2&gt;1,F73,0)+IF($L$2&gt;2,F120,0)+IF($L$2&gt;3,F167,0)+IF($L$2&gt;4,F214,0)</f>
        <v>0</v>
      </c>
      <c r="G261" s="70">
        <f t="shared" si="102"/>
        <v>0</v>
      </c>
      <c r="H261" s="70">
        <f t="shared" si="102"/>
        <v>0</v>
      </c>
      <c r="I261" s="28"/>
    </row>
    <row r="262" spans="2:13" ht="15.6">
      <c r="B262" s="8"/>
      <c r="C262" s="6" t="s">
        <v>26</v>
      </c>
      <c r="D262" s="6"/>
      <c r="E262" s="63"/>
      <c r="F262" s="70">
        <f t="shared" ref="F262:H262" si="103">F27+IF($L$2&gt;1,F74,0)+IF($L$2&gt;2,F121,0)+IF($L$2&gt;3,F168,0)+IF($L$2&gt;4,F215,0)</f>
        <v>0</v>
      </c>
      <c r="G262" s="107"/>
      <c r="H262" s="70">
        <f t="shared" si="103"/>
        <v>0</v>
      </c>
      <c r="I262" s="28"/>
    </row>
    <row r="263" spans="2:13" ht="15.6">
      <c r="B263" s="8" t="s">
        <v>7</v>
      </c>
      <c r="C263" s="6" t="s">
        <v>78</v>
      </c>
      <c r="D263" s="6"/>
      <c r="E263" s="63"/>
      <c r="F263" s="70">
        <f t="shared" ref="F263:H263" si="104">F28+IF($L$2&gt;1,F75,0)+IF($L$2&gt;2,F122,0)+IF($L$2&gt;3,F169,0)+IF($L$2&gt;4,F216,0)</f>
        <v>0</v>
      </c>
      <c r="G263" s="70">
        <f t="shared" si="104"/>
        <v>0</v>
      </c>
      <c r="H263" s="70">
        <f t="shared" si="104"/>
        <v>0</v>
      </c>
      <c r="I263" s="70">
        <f t="shared" ref="I263" si="105">I28+IF($L$2&gt;1,I75,0)+IF($L$2&gt;2,I122,0)+IF($L$2&gt;3,I169,0)+IF($L$2&gt;4,I216,0)</f>
        <v>0</v>
      </c>
    </row>
    <row r="264" spans="2:13" ht="15.6">
      <c r="B264" s="8" t="s">
        <v>8</v>
      </c>
      <c r="C264" s="5" t="s">
        <v>38</v>
      </c>
      <c r="D264" s="6"/>
      <c r="E264" s="10"/>
      <c r="F264" s="70">
        <f t="shared" ref="F264:H264" si="106">F29+IF($L$2&gt;1,F76,0)+IF($L$2&gt;2,F123,0)+IF($L$2&gt;3,F170,0)+IF($L$2&gt;4,F217,0)</f>
        <v>0</v>
      </c>
      <c r="G264" s="70">
        <f t="shared" si="106"/>
        <v>0</v>
      </c>
      <c r="H264" s="70">
        <f t="shared" si="106"/>
        <v>0</v>
      </c>
      <c r="I264" s="70">
        <f t="shared" ref="I264" si="107">I29+IF($L$2&gt;1,I76,0)+IF($L$2&gt;2,I123,0)+IF($L$2&gt;3,I170,0)+IF($L$2&gt;4,I217,0)</f>
        <v>0</v>
      </c>
      <c r="L264" s="40" t="s">
        <v>116</v>
      </c>
    </row>
    <row r="265" spans="2:13" ht="15.6">
      <c r="B265" s="7" t="s">
        <v>9</v>
      </c>
      <c r="C265" s="5" t="s">
        <v>28</v>
      </c>
      <c r="D265" s="6"/>
      <c r="E265" s="12"/>
      <c r="F265" s="70">
        <f t="shared" ref="F265:H265" si="108">F30+IF($L$2&gt;1,F77,0)+IF($L$2&gt;2,F124,0)+IF($L$2&gt;3,F171,0)+IF($L$2&gt;4,F218,0)</f>
        <v>0</v>
      </c>
      <c r="G265" s="70">
        <f t="shared" si="108"/>
        <v>0</v>
      </c>
      <c r="H265" s="70">
        <f t="shared" si="108"/>
        <v>0</v>
      </c>
      <c r="I265" s="70">
        <f t="shared" ref="I265" si="109">I30+IF($L$2&gt;1,I77,0)+IF($L$2&gt;2,I124,0)+IF($L$2&gt;3,I171,0)+IF($L$2&gt;4,I218,0)</f>
        <v>0</v>
      </c>
      <c r="L265" s="40" t="s">
        <v>56</v>
      </c>
      <c r="M265" s="38" t="s">
        <v>117</v>
      </c>
    </row>
    <row r="266" spans="2:13" ht="15.6">
      <c r="B266" s="13" t="s">
        <v>10</v>
      </c>
      <c r="C266" s="14" t="s">
        <v>19</v>
      </c>
      <c r="D266" s="2"/>
      <c r="E266" s="10"/>
      <c r="F266" s="70">
        <f t="shared" ref="F266:H266" si="110">F31+IF($L$2&gt;1,F78,0)+IF($L$2&gt;2,F125,0)+IF($L$2&gt;3,F172,0)+IF($L$2&gt;4,F219,0)</f>
        <v>0</v>
      </c>
      <c r="G266" s="70">
        <f t="shared" si="110"/>
        <v>0</v>
      </c>
      <c r="H266" s="70">
        <f t="shared" si="110"/>
        <v>0</v>
      </c>
      <c r="I266" s="70">
        <f t="shared" ref="I266" si="111">I31+IF($L$2&gt;1,I78,0)+IF($L$2&gt;2,I125,0)+IF($L$2&gt;3,I172,0)+IF($L$2&gt;4,I219,0)</f>
        <v>0</v>
      </c>
      <c r="L266" s="32" t="str">
        <f>$L$36</f>
        <v>Subcontract 1:</v>
      </c>
      <c r="M266" s="35">
        <f>M36+M81+M128+M171+M219</f>
        <v>0</v>
      </c>
    </row>
    <row r="267" spans="2:13" ht="15.6">
      <c r="B267" s="8" t="s">
        <v>11</v>
      </c>
      <c r="C267" s="15" t="s">
        <v>34</v>
      </c>
      <c r="D267" s="6"/>
      <c r="E267" s="10"/>
      <c r="F267" s="70">
        <f t="shared" ref="F267:H267" si="112">F32+IF($L$2&gt;1,F79,0)+IF($L$2&gt;2,F126,0)+IF($L$2&gt;3,F173,0)+IF($L$2&gt;4,F220,0)</f>
        <v>0</v>
      </c>
      <c r="G267" s="70">
        <f t="shared" si="112"/>
        <v>0</v>
      </c>
      <c r="H267" s="70">
        <f t="shared" si="112"/>
        <v>0</v>
      </c>
      <c r="I267" s="70">
        <f t="shared" ref="I267" si="113">I32+IF($L$2&gt;1,I79,0)+IF($L$2&gt;2,I126,0)+IF($L$2&gt;3,I173,0)+IF($L$2&gt;4,I220,0)</f>
        <v>0</v>
      </c>
      <c r="L267" s="33" t="str">
        <f>$L$37</f>
        <v>Subcontract 2:</v>
      </c>
      <c r="M267" s="36">
        <f t="shared" ref="M267:M269" si="114">M37+M82+M129+M172+M220</f>
        <v>0</v>
      </c>
    </row>
    <row r="268" spans="2:13" ht="15.6">
      <c r="B268" s="8" t="s">
        <v>12</v>
      </c>
      <c r="C268" s="15" t="s">
        <v>35</v>
      </c>
      <c r="D268" s="6"/>
      <c r="E268" s="10"/>
      <c r="F268" s="84"/>
      <c r="G268" s="84"/>
      <c r="H268" s="71"/>
      <c r="I268" s="28"/>
      <c r="L268" s="33" t="str">
        <f>$L$38</f>
        <v>Subcontract 3:</v>
      </c>
      <c r="M268" s="36">
        <f t="shared" si="114"/>
        <v>0</v>
      </c>
    </row>
    <row r="269" spans="2:13" ht="15.6">
      <c r="B269" s="22"/>
      <c r="C269" s="15" t="s">
        <v>39</v>
      </c>
      <c r="D269" s="6"/>
      <c r="E269" s="10"/>
      <c r="F269" s="70">
        <f t="shared" ref="F269:G269" si="115">F34+IF($L$2&gt;1,F81,0)+IF($L$2&gt;2,F128,0)+IF($L$2&gt;3,F175,0)+IF($L$2&gt;4,F222,0)</f>
        <v>0</v>
      </c>
      <c r="G269" s="70">
        <f t="shared" si="115"/>
        <v>0</v>
      </c>
      <c r="H269" s="70">
        <f>H33+IF($L$2&gt;1,H81,0)+IF($L$2&gt;2,H128,0)+IF($L$2&gt;3,H175,0)+IF($L$2&gt;4,H222,0)</f>
        <v>0</v>
      </c>
      <c r="I269" s="28">
        <f>I34+IF($L$2&gt;1,I81,0)+IF($L$2&gt;2,I128,0)+IF($L$2&gt;3,I175,0)+IF($L$2&gt;4,I222,0)</f>
        <v>0</v>
      </c>
      <c r="L269" s="34" t="str">
        <f>$L$39</f>
        <v>Subcontract 4:</v>
      </c>
      <c r="M269" s="37">
        <f t="shared" si="114"/>
        <v>0</v>
      </c>
    </row>
    <row r="270" spans="2:13" ht="15.6">
      <c r="B270" s="8"/>
      <c r="C270" s="15" t="s">
        <v>40</v>
      </c>
      <c r="D270" s="6"/>
      <c r="E270" s="10"/>
      <c r="F270" s="70">
        <f t="shared" ref="F270:H270" si="116">F35+IF($L$2&gt;1,F82,0)+IF($L$2&gt;2,F129,0)+IF($L$2&gt;3,F176,0)+IF($L$2&gt;4,F223,0)</f>
        <v>0</v>
      </c>
      <c r="G270" s="70">
        <f t="shared" si="116"/>
        <v>0</v>
      </c>
      <c r="H270" s="70">
        <f t="shared" si="116"/>
        <v>0</v>
      </c>
      <c r="I270" s="70">
        <f>I35+IF($L$2&gt;1,I82,0)+IF($L$2&gt;2,I129,0)+IF($L$2&gt;3,I176,0)+IF($L$2&gt;4,I223,0)</f>
        <v>0</v>
      </c>
    </row>
    <row r="271" spans="2:13" ht="15.6">
      <c r="B271" s="8"/>
      <c r="C271" s="15" t="s">
        <v>76</v>
      </c>
      <c r="D271" s="6"/>
      <c r="E271" s="10"/>
      <c r="F271" s="70">
        <f t="shared" ref="F271:H271" si="117">F36+IF($L$2&gt;1,F83,0)+IF($L$2&gt;2,F130,0)+IF($L$2&gt;3,F177,0)+IF($L$2&gt;4,F224,0)</f>
        <v>0</v>
      </c>
      <c r="G271" s="70">
        <f t="shared" si="117"/>
        <v>0</v>
      </c>
      <c r="H271" s="70">
        <f t="shared" si="117"/>
        <v>0</v>
      </c>
      <c r="I271" s="70">
        <f t="shared" ref="I271" si="118">I36+IF($L$2&gt;1,I83,0)+IF($L$2&gt;2,I130,0)+IF($L$2&gt;3,I177,0)+IF($L$2&gt;4,I224,0)</f>
        <v>0</v>
      </c>
    </row>
    <row r="272" spans="2:13" ht="15.6">
      <c r="B272" s="8" t="s">
        <v>13</v>
      </c>
      <c r="C272" s="15" t="s">
        <v>36</v>
      </c>
      <c r="D272" s="6"/>
      <c r="E272" s="10"/>
      <c r="F272" s="70">
        <f t="shared" ref="F272:H272" si="119">F37+IF($L$2&gt;1,F84,0)+IF($L$2&gt;2,F131,0)+IF($L$2&gt;3,F178,0)+IF($L$2&gt;4,F225,0)</f>
        <v>0</v>
      </c>
      <c r="G272" s="70">
        <f t="shared" si="119"/>
        <v>0</v>
      </c>
      <c r="H272" s="70">
        <f t="shared" si="119"/>
        <v>0</v>
      </c>
      <c r="I272" s="70">
        <f t="shared" ref="I272" si="120">I37+IF($L$2&gt;1,I84,0)+IF($L$2&gt;2,I131,0)+IF($L$2&gt;3,I178,0)+IF($L$2&gt;4,I225,0)</f>
        <v>0</v>
      </c>
    </row>
    <row r="273" spans="1:9" ht="15.6">
      <c r="B273" s="8" t="s">
        <v>14</v>
      </c>
      <c r="C273" s="6" t="s">
        <v>18</v>
      </c>
      <c r="D273" s="6"/>
      <c r="E273" s="10"/>
      <c r="F273" s="70">
        <f t="shared" ref="F273:H273" si="121">F38+IF($L$2&gt;1,F85,0)+IF($L$2&gt;2,F132,0)+IF($L$2&gt;3,F179,0)+IF($L$2&gt;4,F226,0)</f>
        <v>0</v>
      </c>
      <c r="G273" s="70">
        <f t="shared" si="121"/>
        <v>0</v>
      </c>
      <c r="H273" s="70">
        <f t="shared" si="121"/>
        <v>0</v>
      </c>
      <c r="I273" s="70">
        <f t="shared" ref="I273" si="122">I38+IF($L$2&gt;1,I85,0)+IF($L$2&gt;2,I132,0)+IF($L$2&gt;3,I179,0)+IF($L$2&gt;4,I226,0)</f>
        <v>0</v>
      </c>
    </row>
    <row r="274" spans="1:9" ht="15.6">
      <c r="B274" s="8" t="s">
        <v>15</v>
      </c>
      <c r="C274" s="6" t="s">
        <v>97</v>
      </c>
      <c r="D274" s="6"/>
      <c r="E274" s="10"/>
      <c r="F274" s="70">
        <f>F39+IF($L$2&gt;1,F86,0)+IF($L$2&gt;2,F133,0)+IF($L$2&gt;3,F180,0)+IF($L$2&gt;4,F227,0)</f>
        <v>0</v>
      </c>
      <c r="G274" s="70">
        <f>G39+IF($L$2&gt;1,G86,0)+IF($L$2&gt;2,G133,0)+IF($L$2&gt;3,G180,0)+IF($L$2&gt;4,G227,0)</f>
        <v>0</v>
      </c>
      <c r="H274" s="70">
        <f>H39+IF($L$2&gt;1,H86,0)+IF($L$2&gt;2,H133,0)+IF($L$2&gt;3,H180,0)+IF($L$2&gt;4,H227,0)</f>
        <v>0</v>
      </c>
      <c r="I274" s="70">
        <f>I39+IF($L$2&gt;1,I86,0)+IF($L$2&gt;2,I133,0)+IF($L$2&gt;3,I180,0)+IF($L$2&gt;4,I227,0)</f>
        <v>0</v>
      </c>
    </row>
    <row r="275" spans="1:9" ht="15.6">
      <c r="B275" s="8" t="s">
        <v>75</v>
      </c>
      <c r="C275" s="58" t="s">
        <v>87</v>
      </c>
      <c r="D275" s="68"/>
      <c r="E275" s="64"/>
      <c r="F275" s="70">
        <f t="shared" ref="F275" si="123">F40+IF($L$2&gt;1,F87,0)+IF($L$2&gt;2,F134,0)+IF($L$2&gt;3,F181,0)+IF($L$2&gt;4,F228,0)</f>
        <v>0</v>
      </c>
      <c r="G275" s="84">
        <f>G40+IF($L$2&gt;1,G87,0)+IF($L$2&gt;2,G134,0)+IF($L$2&gt;3,G181,0)+IF($L$2&gt;4,G228,0)</f>
        <v>0</v>
      </c>
      <c r="H275" s="70">
        <f t="shared" ref="H275" si="124">H40+IF($L$2&gt;1,H87,0)+IF($L$2&gt;2,H134,0)+IF($L$2&gt;3,H181,0)+IF($L$2&gt;4,H228,0)</f>
        <v>0</v>
      </c>
      <c r="I275" s="28">
        <f>I40+IF($L$2&gt;1,I87,0)+IF($L$2&gt;2,I134,0)+IF($L$2&gt;3,I181,0)+IF($L$2&gt;4,I228,0)</f>
        <v>0</v>
      </c>
    </row>
    <row r="276" spans="1:9" ht="15.6">
      <c r="B276" s="11" t="s">
        <v>79</v>
      </c>
      <c r="C276" s="2" t="s">
        <v>29</v>
      </c>
      <c r="D276" s="2"/>
      <c r="E276" s="16"/>
      <c r="F276" s="70">
        <f t="shared" ref="F276:I276" si="125">F41+IF($L$2&gt;1,F88,0)+IF($L$2&gt;2,F135,0)+IF($L$2&gt;3,F182,0)+IF($L$2&gt;4,F229,0)</f>
        <v>0</v>
      </c>
      <c r="G276" s="70">
        <f t="shared" si="125"/>
        <v>0</v>
      </c>
      <c r="H276" s="70">
        <f t="shared" si="125"/>
        <v>0</v>
      </c>
      <c r="I276" s="70">
        <f t="shared" si="125"/>
        <v>0</v>
      </c>
    </row>
    <row r="277" spans="1:9" ht="15.6">
      <c r="B277" s="8" t="s">
        <v>80</v>
      </c>
      <c r="C277" s="6" t="s">
        <v>41</v>
      </c>
      <c r="D277" s="6"/>
      <c r="E277" s="2"/>
      <c r="F277" s="84"/>
      <c r="G277" s="84"/>
      <c r="H277" s="71"/>
      <c r="I277" s="28"/>
    </row>
    <row r="278" spans="1:9" ht="15.6">
      <c r="B278" s="30" t="s">
        <v>42</v>
      </c>
      <c r="C278" s="23">
        <f>C43</f>
        <v>0.5</v>
      </c>
      <c r="D278" s="65" t="s">
        <v>43</v>
      </c>
      <c r="E278" s="24"/>
      <c r="F278" s="70">
        <f t="shared" ref="F278:H278" si="126">F43+IF($L$2&gt;1,F90,0)+IF($L$2&gt;2,F137,0)+IF($L$2&gt;3,F184,0)+IF($L$2&gt;4,F231,0)</f>
        <v>0</v>
      </c>
      <c r="G278" s="70">
        <f t="shared" si="126"/>
        <v>0</v>
      </c>
      <c r="H278" s="70">
        <f t="shared" si="126"/>
        <v>0</v>
      </c>
      <c r="I278" s="28"/>
    </row>
    <row r="279" spans="1:9" ht="15.6">
      <c r="B279" s="30"/>
      <c r="C279" s="72"/>
      <c r="D279" s="73" t="s">
        <v>90</v>
      </c>
      <c r="E279" s="74"/>
      <c r="F279" s="71"/>
      <c r="G279" s="70">
        <f t="shared" ref="G279" si="127">G44+IF($L$2&gt;1,G91,0)+IF($L$2&gt;2,G138,0)+IF($L$2&gt;3,G185,0)+IF($L$2&gt;4,G232,0)</f>
        <v>0</v>
      </c>
      <c r="H279" s="71"/>
      <c r="I279" s="28"/>
    </row>
    <row r="280" spans="1:9" ht="16.2" thickBot="1">
      <c r="A280" s="57"/>
      <c r="B280" s="29" t="s">
        <v>98</v>
      </c>
      <c r="C280" s="17" t="s">
        <v>32</v>
      </c>
      <c r="D280" s="18"/>
      <c r="E280" s="19"/>
      <c r="F280" s="70">
        <f t="shared" ref="F280:I280" si="128">F45+IF($L$2&gt;1,F92,0)+IF($L$2&gt;2,F139,0)+IF($L$2&gt;3,F186,0)+IF($L$2&gt;4,F233,0)</f>
        <v>0</v>
      </c>
      <c r="G280" s="70">
        <f t="shared" si="128"/>
        <v>0</v>
      </c>
      <c r="H280" s="70">
        <f t="shared" si="128"/>
        <v>0</v>
      </c>
      <c r="I280" s="70">
        <f t="shared" si="128"/>
        <v>0</v>
      </c>
    </row>
    <row r="281" spans="1:9" ht="15.6">
      <c r="A281" s="57"/>
      <c r="B281" s="57"/>
      <c r="C281" s="20"/>
      <c r="D281" s="2"/>
      <c r="E281" s="2"/>
      <c r="F281" s="2"/>
      <c r="G281" s="2"/>
    </row>
  </sheetData>
  <dataConsolidate/>
  <mergeCells count="21">
    <mergeCell ref="A1:J1"/>
    <mergeCell ref="A237:J237"/>
    <mergeCell ref="A143:J143"/>
    <mergeCell ref="A190:J190"/>
    <mergeCell ref="A191:J191"/>
    <mergeCell ref="E5:J5"/>
    <mergeCell ref="A49:J49"/>
    <mergeCell ref="A50:J50"/>
    <mergeCell ref="E52:I52"/>
    <mergeCell ref="A96:J96"/>
    <mergeCell ref="A97:J97"/>
    <mergeCell ref="A98:J98"/>
    <mergeCell ref="E99:I99"/>
    <mergeCell ref="A238:J238"/>
    <mergeCell ref="E240:I240"/>
    <mergeCell ref="A239:J239"/>
    <mergeCell ref="A144:J144"/>
    <mergeCell ref="A145:J145"/>
    <mergeCell ref="E146:I146"/>
    <mergeCell ref="A192:J192"/>
    <mergeCell ref="E193:I193"/>
  </mergeCells>
  <dataValidations disablePrompts="1" count="3">
    <dataValidation showInputMessage="1" showErrorMessage="1" sqref="L195 L57 L103 L149" xr:uid="{00000000-0002-0000-0400-000000000000}"/>
    <dataValidation type="list" allowBlank="1" showInputMessage="1" showErrorMessage="1" sqref="L17" xr:uid="{00000000-0002-0000-0400-000001000000}">
      <formula1>ValidProjectTypes</formula1>
    </dataValidation>
    <dataValidation type="list" allowBlank="1" showInputMessage="1" showErrorMessage="1" sqref="P23" xr:uid="{00000000-0002-0000-0400-000002000000}">
      <formula1>Answers</formula1>
    </dataValidation>
  </dataValidations>
  <pageMargins left="0.75" right="0.75" top="1" bottom="1" header="0.5" footer="0.5"/>
  <pageSetup scale="67" orientation="portrait" r:id="rId1"/>
  <headerFooter alignWithMargins="0"/>
  <rowBreaks count="5" manualBreakCount="5">
    <brk id="48" max="16383" man="1"/>
    <brk id="95" max="9" man="1"/>
    <brk id="142" max="9" man="1"/>
    <brk id="189" max="9" man="1"/>
    <brk id="236" max="9" man="1"/>
  </rowBreaks>
  <colBreaks count="1" manualBreakCount="1">
    <brk id="10" min="1" max="289" man="1"/>
  </colBreaks>
  <ignoredErrors>
    <ignoredError sqref="C90 C137 C184 C231 C278" unlockedFormula="1"/>
    <ignoredError sqref="F25"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F10" sqref="F10"/>
    </sheetView>
  </sheetViews>
  <sheetFormatPr defaultRowHeight="13.2"/>
  <cols>
    <col min="1" max="1" width="15.33203125" customWidth="1"/>
    <col min="2" max="2" width="9.33203125" bestFit="1" customWidth="1"/>
    <col min="3" max="3" width="9.33203125" customWidth="1"/>
    <col min="4" max="4" width="10.33203125" customWidth="1"/>
    <col min="5" max="5" width="10.88671875" customWidth="1"/>
  </cols>
  <sheetData>
    <row r="1" spans="1:6">
      <c r="B1" s="45"/>
      <c r="C1" s="45"/>
      <c r="D1" s="45"/>
      <c r="E1" s="45"/>
    </row>
    <row r="2" spans="1:6">
      <c r="A2" s="51">
        <v>42004</v>
      </c>
      <c r="B2" s="47"/>
      <c r="C2" s="47"/>
      <c r="D2" s="47"/>
      <c r="E2" s="47"/>
      <c r="F2" t="s">
        <v>111</v>
      </c>
    </row>
    <row r="3" spans="1:6">
      <c r="A3" s="51">
        <v>42035</v>
      </c>
      <c r="B3" s="47"/>
      <c r="C3" s="47"/>
      <c r="D3" s="47"/>
      <c r="E3" s="47"/>
      <c r="F3" t="s">
        <v>68</v>
      </c>
    </row>
    <row r="4" spans="1:6">
      <c r="A4" s="51">
        <v>42063</v>
      </c>
      <c r="B4" s="47"/>
      <c r="C4" s="47"/>
      <c r="D4" s="47"/>
      <c r="E4" s="47"/>
      <c r="F4" t="s">
        <v>112</v>
      </c>
    </row>
    <row r="5" spans="1:6">
      <c r="A5" s="51">
        <v>42094</v>
      </c>
      <c r="B5" s="47"/>
      <c r="C5" s="47"/>
      <c r="D5" s="47"/>
      <c r="E5" s="47"/>
      <c r="F5" t="s">
        <v>69</v>
      </c>
    </row>
    <row r="6" spans="1:6">
      <c r="A6" s="51">
        <v>42124</v>
      </c>
      <c r="B6" s="47"/>
      <c r="C6" s="47"/>
      <c r="D6" s="47"/>
      <c r="E6" s="47"/>
      <c r="F6" t="s">
        <v>113</v>
      </c>
    </row>
    <row r="7" spans="1:6">
      <c r="A7" s="51">
        <v>42155</v>
      </c>
      <c r="B7" s="47"/>
      <c r="C7" s="47"/>
      <c r="D7" s="47"/>
      <c r="E7" s="47"/>
      <c r="F7" t="s">
        <v>70</v>
      </c>
    </row>
    <row r="8" spans="1:6">
      <c r="A8" s="51">
        <v>42185</v>
      </c>
      <c r="B8" s="47"/>
      <c r="C8" s="47"/>
      <c r="D8" s="47"/>
      <c r="E8" s="47"/>
      <c r="F8" t="s">
        <v>114</v>
      </c>
    </row>
    <row r="9" spans="1:6">
      <c r="A9" s="51">
        <v>42216</v>
      </c>
      <c r="B9" s="47"/>
      <c r="C9" s="47"/>
      <c r="D9" s="47"/>
      <c r="E9" s="47"/>
      <c r="F9" t="s">
        <v>115</v>
      </c>
    </row>
    <row r="10" spans="1:6">
      <c r="A10" s="51">
        <v>42247</v>
      </c>
      <c r="B10" s="47"/>
      <c r="C10" s="47"/>
      <c r="D10" s="47"/>
      <c r="E10" s="47"/>
    </row>
    <row r="11" spans="1:6">
      <c r="A11" s="51">
        <v>42277</v>
      </c>
      <c r="B11" s="47"/>
      <c r="C11" s="47"/>
      <c r="D11" s="47"/>
      <c r="E11" s="47"/>
      <c r="F11" t="s">
        <v>91</v>
      </c>
    </row>
    <row r="12" spans="1:6">
      <c r="A12" s="51">
        <v>42308</v>
      </c>
      <c r="B12" s="47"/>
      <c r="C12" s="47"/>
      <c r="D12" s="47"/>
      <c r="E12" s="47"/>
      <c r="F12" t="s">
        <v>92</v>
      </c>
    </row>
    <row r="13" spans="1:6">
      <c r="A13" s="51">
        <v>42338</v>
      </c>
      <c r="B13" s="47"/>
      <c r="C13" s="47"/>
      <c r="D13" s="47"/>
      <c r="E13" s="47"/>
    </row>
    <row r="14" spans="1:6">
      <c r="A14" s="51">
        <v>42369</v>
      </c>
      <c r="B14" s="47"/>
      <c r="C14" s="47"/>
      <c r="D14" s="47"/>
      <c r="E14" s="47"/>
    </row>
    <row r="15" spans="1:6">
      <c r="A15" s="51">
        <v>42400</v>
      </c>
      <c r="B15" s="47"/>
      <c r="C15" s="47"/>
      <c r="D15" s="47"/>
      <c r="E15" s="47"/>
    </row>
    <row r="16" spans="1:6">
      <c r="A16" s="51">
        <v>42429</v>
      </c>
      <c r="B16" s="47"/>
      <c r="C16" s="47"/>
      <c r="D16" s="47"/>
      <c r="E16" s="47"/>
    </row>
    <row r="17" spans="1:5">
      <c r="A17" s="51">
        <v>42460</v>
      </c>
      <c r="B17" s="47"/>
      <c r="C17" s="47"/>
      <c r="D17" s="47"/>
      <c r="E17" s="47"/>
    </row>
    <row r="18" spans="1:5">
      <c r="A18" s="51">
        <v>42490</v>
      </c>
      <c r="B18" s="47"/>
      <c r="C18" s="47"/>
      <c r="D18" s="47"/>
      <c r="E18" s="47"/>
    </row>
    <row r="19" spans="1:5">
      <c r="A19" s="51">
        <v>42521</v>
      </c>
      <c r="B19" s="47"/>
      <c r="C19" s="47"/>
      <c r="D19" s="47"/>
      <c r="E19" s="47"/>
    </row>
    <row r="20" spans="1:5">
      <c r="A20" s="51">
        <v>42551</v>
      </c>
      <c r="B20" s="47"/>
      <c r="C20" s="47"/>
      <c r="D20" s="47"/>
      <c r="E20" s="47"/>
    </row>
    <row r="21" spans="1:5">
      <c r="A21" s="51">
        <v>42582</v>
      </c>
      <c r="B21" s="47"/>
      <c r="C21" s="47"/>
      <c r="D21" s="47"/>
      <c r="E21" s="47"/>
    </row>
    <row r="22" spans="1:5">
      <c r="A22" s="51">
        <v>42613</v>
      </c>
      <c r="B22" s="47"/>
      <c r="C22" s="47"/>
      <c r="D22" s="47"/>
      <c r="E22" s="47"/>
    </row>
    <row r="23" spans="1:5">
      <c r="A23" s="51">
        <v>42643</v>
      </c>
      <c r="B23" s="47"/>
      <c r="C23" s="47"/>
      <c r="D23" s="47"/>
      <c r="E23" s="47"/>
    </row>
    <row r="24" spans="1:5">
      <c r="A24" s="51">
        <v>42674</v>
      </c>
      <c r="B24" s="47"/>
      <c r="C24" s="47"/>
      <c r="D24" s="47"/>
      <c r="E24" s="47"/>
    </row>
    <row r="25" spans="1:5">
      <c r="A25" s="51">
        <v>42704</v>
      </c>
      <c r="B25" s="47"/>
      <c r="C25" s="47"/>
      <c r="D25" s="47"/>
      <c r="E25" s="47"/>
    </row>
    <row r="26" spans="1:5">
      <c r="A26" s="51">
        <v>42735</v>
      </c>
      <c r="B26" s="47"/>
      <c r="C26" s="47"/>
      <c r="D26" s="47"/>
      <c r="E26" s="47"/>
    </row>
    <row r="27" spans="1:5">
      <c r="A27" s="51">
        <v>42766</v>
      </c>
      <c r="B27" s="47"/>
      <c r="C27" s="47"/>
      <c r="D27" s="47"/>
      <c r="E27" s="47"/>
    </row>
    <row r="28" spans="1:5">
      <c r="A28" s="51">
        <v>42794</v>
      </c>
      <c r="B28" s="47"/>
      <c r="C28" s="47"/>
      <c r="D28" s="47"/>
      <c r="E28" s="47"/>
    </row>
    <row r="29" spans="1:5">
      <c r="A29" s="51">
        <v>42825</v>
      </c>
      <c r="B29" s="47"/>
      <c r="C29" s="47"/>
      <c r="D29" s="47"/>
      <c r="E29" s="47"/>
    </row>
    <row r="30" spans="1:5">
      <c r="A30" s="51">
        <v>42855</v>
      </c>
      <c r="B30" s="47"/>
      <c r="C30" s="47"/>
      <c r="D30" s="47"/>
      <c r="E30" s="47"/>
    </row>
    <row r="31" spans="1:5">
      <c r="A31" s="51">
        <v>42886</v>
      </c>
      <c r="B31" s="47"/>
      <c r="C31" s="47"/>
      <c r="D31" s="47"/>
      <c r="E31" s="47"/>
    </row>
    <row r="32" spans="1:5">
      <c r="A32" s="51">
        <v>42916</v>
      </c>
      <c r="B32" s="47"/>
      <c r="C32" s="47"/>
      <c r="D32" s="47"/>
      <c r="E32" s="47"/>
    </row>
    <row r="33" spans="1:5">
      <c r="A33" s="51">
        <v>42947</v>
      </c>
      <c r="B33" s="47"/>
      <c r="C33" s="47"/>
      <c r="D33" s="47"/>
      <c r="E33" s="47"/>
    </row>
    <row r="34" spans="1:5">
      <c r="A34" s="51">
        <v>42978</v>
      </c>
      <c r="B34" s="47"/>
      <c r="C34" s="47"/>
      <c r="D34" s="47"/>
      <c r="E34" s="47"/>
    </row>
    <row r="35" spans="1:5">
      <c r="A35" s="51">
        <v>43008</v>
      </c>
      <c r="B35" s="47"/>
      <c r="C35" s="47"/>
      <c r="D35" s="47"/>
      <c r="E35" s="47"/>
    </row>
    <row r="36" spans="1:5">
      <c r="A36" s="51">
        <v>43039</v>
      </c>
      <c r="B36" s="47"/>
      <c r="C36" s="47"/>
      <c r="D36" s="47"/>
      <c r="E36" s="47"/>
    </row>
    <row r="37" spans="1:5">
      <c r="A37" s="51">
        <v>43069</v>
      </c>
      <c r="B37" s="47"/>
      <c r="C37" s="47"/>
      <c r="D37" s="47"/>
      <c r="E37" s="47"/>
    </row>
    <row r="38" spans="1:5">
      <c r="A38" s="51">
        <v>43100</v>
      </c>
      <c r="B38" s="47"/>
      <c r="C38" s="47"/>
      <c r="D38" s="47"/>
      <c r="E38" s="47"/>
    </row>
    <row r="39" spans="1:5">
      <c r="A39" s="51">
        <v>43131</v>
      </c>
      <c r="B39" s="47"/>
      <c r="C39" s="47"/>
      <c r="D39" s="47"/>
      <c r="E39" s="47"/>
    </row>
    <row r="40" spans="1:5">
      <c r="A40" s="51">
        <v>43159</v>
      </c>
      <c r="B40" s="47"/>
      <c r="C40" s="47"/>
      <c r="D40" s="47"/>
      <c r="E40" s="47"/>
    </row>
    <row r="41" spans="1:5">
      <c r="A41" s="51">
        <v>43190</v>
      </c>
      <c r="B41" s="47"/>
      <c r="C41" s="47"/>
      <c r="D41" s="47"/>
      <c r="E41" s="47"/>
    </row>
    <row r="42" spans="1:5">
      <c r="A42" s="51">
        <v>43220</v>
      </c>
      <c r="B42" s="47"/>
      <c r="C42" s="47"/>
      <c r="D42" s="47"/>
      <c r="E42" s="47"/>
    </row>
    <row r="43" spans="1:5">
      <c r="A43" s="51">
        <v>43251</v>
      </c>
      <c r="B43" s="47"/>
      <c r="C43" s="47"/>
      <c r="D43" s="47"/>
      <c r="E43" s="47"/>
    </row>
    <row r="44" spans="1:5">
      <c r="A44" s="51">
        <f>A43+31</f>
        <v>43282</v>
      </c>
      <c r="B44" s="47"/>
      <c r="C44" s="47"/>
      <c r="D44" s="47"/>
      <c r="E44" s="47"/>
    </row>
    <row r="45" spans="1:5">
      <c r="A45" s="51">
        <f t="shared" ref="A45:A102" si="0">A44+31</f>
        <v>43313</v>
      </c>
      <c r="B45" s="47"/>
      <c r="C45" s="47"/>
      <c r="D45" s="47"/>
      <c r="E45" s="47"/>
    </row>
    <row r="46" spans="1:5">
      <c r="A46" s="51">
        <f t="shared" si="0"/>
        <v>43344</v>
      </c>
      <c r="B46" s="47"/>
      <c r="C46" s="47"/>
      <c r="D46" s="47"/>
      <c r="E46" s="47"/>
    </row>
    <row r="47" spans="1:5">
      <c r="A47" s="51">
        <f t="shared" si="0"/>
        <v>43375</v>
      </c>
      <c r="B47" s="47"/>
      <c r="C47" s="47"/>
      <c r="D47" s="47"/>
      <c r="E47" s="47"/>
    </row>
    <row r="48" spans="1:5">
      <c r="A48" s="51">
        <f t="shared" si="0"/>
        <v>43406</v>
      </c>
      <c r="B48" s="47"/>
      <c r="C48" s="47"/>
      <c r="D48" s="47"/>
      <c r="E48" s="47"/>
    </row>
    <row r="49" spans="1:5">
      <c r="A49" s="51">
        <f t="shared" si="0"/>
        <v>43437</v>
      </c>
      <c r="B49" s="47"/>
      <c r="C49" s="47"/>
      <c r="D49" s="47"/>
      <c r="E49" s="47"/>
    </row>
    <row r="50" spans="1:5">
      <c r="A50" s="51">
        <f t="shared" si="0"/>
        <v>43468</v>
      </c>
      <c r="B50" s="47"/>
      <c r="C50" s="47"/>
      <c r="D50" s="47"/>
      <c r="E50" s="47"/>
    </row>
    <row r="51" spans="1:5">
      <c r="A51" s="51">
        <f t="shared" si="0"/>
        <v>43499</v>
      </c>
      <c r="B51" s="47"/>
      <c r="C51" s="47"/>
      <c r="D51" s="47"/>
      <c r="E51" s="47"/>
    </row>
    <row r="52" spans="1:5">
      <c r="A52" s="51">
        <f t="shared" si="0"/>
        <v>43530</v>
      </c>
      <c r="B52" s="47"/>
      <c r="C52" s="47"/>
      <c r="D52" s="47"/>
      <c r="E52" s="47"/>
    </row>
    <row r="53" spans="1:5">
      <c r="A53" s="51">
        <f t="shared" si="0"/>
        <v>43561</v>
      </c>
      <c r="B53" s="47"/>
      <c r="C53" s="47"/>
      <c r="D53" s="47"/>
      <c r="E53" s="47"/>
    </row>
    <row r="54" spans="1:5">
      <c r="A54" s="51">
        <f t="shared" si="0"/>
        <v>43592</v>
      </c>
      <c r="B54" s="47"/>
      <c r="C54" s="47"/>
      <c r="D54" s="47"/>
      <c r="E54" s="47"/>
    </row>
    <row r="55" spans="1:5">
      <c r="A55" s="51">
        <f t="shared" si="0"/>
        <v>43623</v>
      </c>
      <c r="B55" s="47"/>
      <c r="C55" s="47"/>
      <c r="D55" s="47"/>
      <c r="E55" s="47"/>
    </row>
    <row r="56" spans="1:5">
      <c r="A56" s="51">
        <f t="shared" si="0"/>
        <v>43654</v>
      </c>
      <c r="B56" s="47"/>
      <c r="C56" s="47"/>
      <c r="D56" s="47"/>
      <c r="E56" s="47"/>
    </row>
    <row r="57" spans="1:5">
      <c r="A57" s="51">
        <f t="shared" si="0"/>
        <v>43685</v>
      </c>
      <c r="B57" s="47"/>
      <c r="C57" s="47"/>
      <c r="D57" s="47"/>
      <c r="E57" s="47"/>
    </row>
    <row r="58" spans="1:5">
      <c r="A58" s="51">
        <f t="shared" si="0"/>
        <v>43716</v>
      </c>
      <c r="B58" s="47"/>
      <c r="C58" s="47"/>
      <c r="D58" s="47"/>
      <c r="E58" s="47"/>
    </row>
    <row r="59" spans="1:5">
      <c r="A59" s="51">
        <f t="shared" si="0"/>
        <v>43747</v>
      </c>
      <c r="B59" s="47"/>
      <c r="C59" s="47"/>
      <c r="D59" s="47"/>
      <c r="E59" s="47"/>
    </row>
    <row r="60" spans="1:5">
      <c r="A60" s="51">
        <f t="shared" si="0"/>
        <v>43778</v>
      </c>
      <c r="B60" s="47"/>
      <c r="C60" s="47"/>
      <c r="D60" s="47"/>
      <c r="E60" s="47"/>
    </row>
    <row r="61" spans="1:5">
      <c r="A61" s="51">
        <f t="shared" si="0"/>
        <v>43809</v>
      </c>
      <c r="B61" s="47"/>
      <c r="C61" s="47"/>
      <c r="D61" s="47"/>
      <c r="E61" s="47"/>
    </row>
    <row r="62" spans="1:5">
      <c r="A62" s="51">
        <f t="shared" si="0"/>
        <v>43840</v>
      </c>
      <c r="B62" s="47"/>
      <c r="C62" s="47"/>
      <c r="D62" s="47"/>
      <c r="E62" s="47"/>
    </row>
    <row r="63" spans="1:5">
      <c r="A63" s="51">
        <f t="shared" si="0"/>
        <v>43871</v>
      </c>
      <c r="B63" s="47"/>
      <c r="C63" s="47"/>
      <c r="D63" s="47"/>
      <c r="E63" s="47"/>
    </row>
    <row r="64" spans="1:5">
      <c r="A64" s="51">
        <f t="shared" si="0"/>
        <v>43902</v>
      </c>
      <c r="B64" s="47"/>
      <c r="C64" s="47"/>
      <c r="D64" s="47"/>
      <c r="E64" s="47"/>
    </row>
    <row r="65" spans="1:5">
      <c r="A65" s="51">
        <f t="shared" si="0"/>
        <v>43933</v>
      </c>
      <c r="B65" s="47"/>
      <c r="C65" s="47"/>
      <c r="D65" s="47"/>
      <c r="E65" s="47"/>
    </row>
    <row r="66" spans="1:5">
      <c r="A66" s="51">
        <f t="shared" si="0"/>
        <v>43964</v>
      </c>
      <c r="B66" s="47"/>
      <c r="C66" s="47"/>
      <c r="D66" s="47"/>
      <c r="E66" s="47"/>
    </row>
    <row r="67" spans="1:5">
      <c r="A67" s="51">
        <f t="shared" si="0"/>
        <v>43995</v>
      </c>
      <c r="B67" s="47"/>
      <c r="C67" s="47"/>
      <c r="D67" s="47"/>
      <c r="E67" s="47"/>
    </row>
    <row r="68" spans="1:5">
      <c r="A68" s="51">
        <f t="shared" si="0"/>
        <v>44026</v>
      </c>
      <c r="B68" s="47"/>
      <c r="C68" s="47"/>
      <c r="D68" s="47"/>
      <c r="E68" s="47"/>
    </row>
    <row r="69" spans="1:5">
      <c r="A69" s="51">
        <f t="shared" si="0"/>
        <v>44057</v>
      </c>
      <c r="B69" s="47"/>
      <c r="C69" s="47"/>
      <c r="D69" s="47"/>
      <c r="E69" s="47"/>
    </row>
    <row r="70" spans="1:5">
      <c r="A70" s="51">
        <f t="shared" si="0"/>
        <v>44088</v>
      </c>
      <c r="B70" s="47"/>
      <c r="C70" s="47"/>
      <c r="D70" s="47"/>
      <c r="E70" s="47"/>
    </row>
    <row r="71" spans="1:5">
      <c r="A71" s="51">
        <f t="shared" si="0"/>
        <v>44119</v>
      </c>
      <c r="B71" s="47"/>
      <c r="C71" s="47"/>
      <c r="D71" s="47"/>
      <c r="E71" s="47"/>
    </row>
    <row r="72" spans="1:5">
      <c r="A72" s="51">
        <f t="shared" si="0"/>
        <v>44150</v>
      </c>
      <c r="B72" s="47"/>
      <c r="C72" s="47"/>
      <c r="D72" s="47"/>
      <c r="E72" s="47"/>
    </row>
    <row r="73" spans="1:5">
      <c r="A73" s="51">
        <f t="shared" si="0"/>
        <v>44181</v>
      </c>
      <c r="B73" s="47"/>
      <c r="C73" s="47"/>
      <c r="D73" s="47"/>
      <c r="E73" s="47"/>
    </row>
    <row r="74" spans="1:5">
      <c r="A74" s="51">
        <f t="shared" si="0"/>
        <v>44212</v>
      </c>
      <c r="B74" s="47"/>
      <c r="C74" s="47"/>
      <c r="D74" s="47"/>
      <c r="E74" s="47"/>
    </row>
    <row r="75" spans="1:5">
      <c r="A75" s="51">
        <f t="shared" si="0"/>
        <v>44243</v>
      </c>
      <c r="B75" s="47"/>
      <c r="C75" s="47"/>
      <c r="D75" s="47"/>
      <c r="E75" s="47"/>
    </row>
    <row r="76" spans="1:5">
      <c r="A76" s="51">
        <f t="shared" si="0"/>
        <v>44274</v>
      </c>
      <c r="B76" s="47"/>
      <c r="C76" s="47"/>
      <c r="D76" s="47"/>
      <c r="E76" s="47"/>
    </row>
    <row r="77" spans="1:5">
      <c r="A77" s="51">
        <f t="shared" si="0"/>
        <v>44305</v>
      </c>
      <c r="B77" s="47"/>
      <c r="C77" s="47"/>
      <c r="D77" s="47"/>
      <c r="E77" s="47"/>
    </row>
    <row r="78" spans="1:5">
      <c r="A78" s="51">
        <f t="shared" si="0"/>
        <v>44336</v>
      </c>
      <c r="B78" s="47"/>
      <c r="C78" s="47"/>
      <c r="D78" s="47"/>
      <c r="E78" s="47"/>
    </row>
    <row r="79" spans="1:5">
      <c r="A79" s="51">
        <f t="shared" si="0"/>
        <v>44367</v>
      </c>
      <c r="B79" s="47"/>
      <c r="C79" s="47"/>
      <c r="D79" s="47"/>
      <c r="E79" s="47"/>
    </row>
    <row r="80" spans="1:5">
      <c r="A80" s="51">
        <f t="shared" si="0"/>
        <v>44398</v>
      </c>
      <c r="B80" s="47"/>
      <c r="C80" s="47"/>
      <c r="D80" s="47"/>
      <c r="E80" s="47"/>
    </row>
    <row r="81" spans="1:5">
      <c r="A81" s="51">
        <f t="shared" si="0"/>
        <v>44429</v>
      </c>
      <c r="B81" s="47"/>
      <c r="C81" s="47"/>
      <c r="D81" s="47"/>
      <c r="E81" s="47"/>
    </row>
    <row r="82" spans="1:5">
      <c r="A82" s="51">
        <f t="shared" si="0"/>
        <v>44460</v>
      </c>
      <c r="B82" s="47"/>
      <c r="C82" s="47"/>
      <c r="D82" s="47"/>
      <c r="E82" s="47"/>
    </row>
    <row r="83" spans="1:5">
      <c r="A83" s="51">
        <f t="shared" si="0"/>
        <v>44491</v>
      </c>
      <c r="B83" s="47"/>
      <c r="C83" s="47"/>
      <c r="D83" s="47"/>
      <c r="E83" s="47"/>
    </row>
    <row r="84" spans="1:5">
      <c r="A84" s="51">
        <f t="shared" si="0"/>
        <v>44522</v>
      </c>
      <c r="B84" s="47"/>
      <c r="C84" s="47"/>
      <c r="D84" s="47"/>
      <c r="E84" s="47"/>
    </row>
    <row r="85" spans="1:5">
      <c r="A85" s="51">
        <f t="shared" si="0"/>
        <v>44553</v>
      </c>
      <c r="B85" s="47"/>
      <c r="C85" s="47"/>
      <c r="D85" s="47"/>
      <c r="E85" s="47"/>
    </row>
    <row r="86" spans="1:5">
      <c r="A86" s="51">
        <f t="shared" si="0"/>
        <v>44584</v>
      </c>
      <c r="B86" s="47"/>
      <c r="C86" s="47"/>
      <c r="D86" s="47"/>
      <c r="E86" s="47"/>
    </row>
    <row r="87" spans="1:5">
      <c r="A87" s="51">
        <f t="shared" si="0"/>
        <v>44615</v>
      </c>
      <c r="B87" s="47"/>
      <c r="C87" s="47"/>
      <c r="D87" s="47"/>
      <c r="E87" s="47"/>
    </row>
    <row r="88" spans="1:5">
      <c r="A88" s="51">
        <f t="shared" si="0"/>
        <v>44646</v>
      </c>
      <c r="B88" s="47"/>
      <c r="C88" s="47"/>
      <c r="D88" s="47"/>
      <c r="E88" s="47"/>
    </row>
    <row r="89" spans="1:5">
      <c r="A89" s="51">
        <f t="shared" si="0"/>
        <v>44677</v>
      </c>
      <c r="B89" s="47"/>
      <c r="C89" s="47"/>
      <c r="D89" s="47"/>
      <c r="E89" s="47"/>
    </row>
    <row r="90" spans="1:5">
      <c r="A90" s="51">
        <f t="shared" si="0"/>
        <v>44708</v>
      </c>
      <c r="B90" s="47"/>
      <c r="C90" s="47"/>
      <c r="D90" s="47"/>
      <c r="E90" s="47"/>
    </row>
    <row r="91" spans="1:5">
      <c r="A91" s="51">
        <f t="shared" si="0"/>
        <v>44739</v>
      </c>
      <c r="B91" s="47"/>
      <c r="C91" s="47"/>
      <c r="D91" s="47"/>
      <c r="E91" s="47"/>
    </row>
    <row r="92" spans="1:5">
      <c r="A92" s="51">
        <f t="shared" si="0"/>
        <v>44770</v>
      </c>
      <c r="B92" s="47"/>
      <c r="C92" s="47"/>
      <c r="D92" s="47"/>
      <c r="E92" s="47"/>
    </row>
    <row r="93" spans="1:5">
      <c r="A93" s="51">
        <f t="shared" si="0"/>
        <v>44801</v>
      </c>
      <c r="B93" s="47"/>
      <c r="C93" s="47"/>
      <c r="D93" s="47"/>
      <c r="E93" s="47"/>
    </row>
    <row r="94" spans="1:5">
      <c r="A94" s="51">
        <f t="shared" si="0"/>
        <v>44832</v>
      </c>
      <c r="B94" s="47"/>
      <c r="C94" s="47"/>
      <c r="D94" s="47"/>
      <c r="E94" s="47"/>
    </row>
    <row r="95" spans="1:5">
      <c r="A95" s="51">
        <f t="shared" si="0"/>
        <v>44863</v>
      </c>
      <c r="B95" s="47"/>
      <c r="C95" s="47"/>
      <c r="D95" s="47"/>
      <c r="E95" s="47"/>
    </row>
    <row r="96" spans="1:5">
      <c r="A96" s="51">
        <f t="shared" si="0"/>
        <v>44894</v>
      </c>
      <c r="B96" s="47"/>
      <c r="C96" s="47"/>
      <c r="D96" s="47"/>
      <c r="E96" s="47"/>
    </row>
    <row r="97" spans="1:5">
      <c r="A97" s="51">
        <f t="shared" si="0"/>
        <v>44925</v>
      </c>
      <c r="B97" s="47"/>
      <c r="C97" s="47"/>
      <c r="D97" s="47"/>
      <c r="E97" s="47"/>
    </row>
    <row r="98" spans="1:5">
      <c r="A98" s="51">
        <f t="shared" si="0"/>
        <v>44956</v>
      </c>
      <c r="B98" s="47"/>
      <c r="C98" s="47"/>
      <c r="D98" s="47"/>
      <c r="E98" s="47"/>
    </row>
    <row r="99" spans="1:5">
      <c r="A99" s="51">
        <f t="shared" si="0"/>
        <v>44987</v>
      </c>
      <c r="B99" s="47"/>
      <c r="C99" s="47"/>
      <c r="D99" s="47"/>
      <c r="E99" s="47"/>
    </row>
    <row r="100" spans="1:5">
      <c r="A100" s="51">
        <f t="shared" si="0"/>
        <v>45018</v>
      </c>
      <c r="B100" s="47"/>
      <c r="C100" s="47"/>
      <c r="D100" s="47"/>
      <c r="E100" s="47"/>
    </row>
    <row r="101" spans="1:5">
      <c r="A101" s="51">
        <f t="shared" si="0"/>
        <v>45049</v>
      </c>
      <c r="B101" s="47"/>
      <c r="C101" s="47"/>
      <c r="D101" s="47"/>
      <c r="E101" s="47"/>
    </row>
    <row r="102" spans="1:5">
      <c r="A102" s="51">
        <f t="shared" si="0"/>
        <v>45080</v>
      </c>
      <c r="B102" s="47"/>
      <c r="C102" s="47"/>
      <c r="D102" s="47"/>
      <c r="E102" s="47"/>
    </row>
    <row r="103" spans="1:5">
      <c r="A103" s="51"/>
    </row>
    <row r="104" spans="1:5">
      <c r="A104" s="51"/>
    </row>
    <row r="105" spans="1:5">
      <c r="A105" s="51"/>
    </row>
    <row r="106" spans="1:5">
      <c r="A106" s="51"/>
    </row>
    <row r="107" spans="1:5">
      <c r="A107" s="51"/>
    </row>
    <row r="108" spans="1:5">
      <c r="A108" s="51"/>
    </row>
    <row r="134" spans="11:11">
      <c r="K134" s="46"/>
    </row>
    <row r="135" spans="11:11">
      <c r="K135" s="46"/>
    </row>
    <row r="136" spans="11:11">
      <c r="K136" s="46"/>
    </row>
    <row r="137" spans="11:11">
      <c r="K137" s="46"/>
    </row>
    <row r="138" spans="11:11">
      <c r="K138" s="46"/>
    </row>
    <row r="139" spans="11:11">
      <c r="K139" s="46"/>
    </row>
    <row r="140" spans="11:11">
      <c r="K140" s="46"/>
    </row>
    <row r="141" spans="11:11">
      <c r="K141" s="46"/>
    </row>
    <row r="142" spans="11:11">
      <c r="K142" s="46"/>
    </row>
    <row r="143" spans="11:11">
      <c r="K143" s="46"/>
    </row>
    <row r="144" spans="11:11">
      <c r="K144" s="46"/>
    </row>
    <row r="145" spans="11:11">
      <c r="K145" s="46"/>
    </row>
    <row r="146" spans="11:11">
      <c r="K146" s="46"/>
    </row>
    <row r="147" spans="11:11">
      <c r="K147" s="46"/>
    </row>
    <row r="148" spans="11:11">
      <c r="K148" s="46"/>
    </row>
    <row r="149" spans="11:11">
      <c r="K149" s="46"/>
    </row>
    <row r="150" spans="11:11">
      <c r="K150" s="46"/>
    </row>
    <row r="151" spans="11:11">
      <c r="K151" s="46"/>
    </row>
    <row r="152" spans="11:11">
      <c r="K152" s="46"/>
    </row>
    <row r="153" spans="11:11">
      <c r="K153" s="46"/>
    </row>
    <row r="154" spans="11:11">
      <c r="K154" s="46"/>
    </row>
    <row r="155" spans="11:11">
      <c r="K155" s="46"/>
    </row>
    <row r="156" spans="11:11">
      <c r="K156" s="46"/>
    </row>
    <row r="157" spans="11:11">
      <c r="K157" s="46"/>
    </row>
    <row r="158" spans="11:11">
      <c r="K158" s="4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Generic 5yr Budget</vt:lpstr>
      <vt:lpstr>Look up tables</vt:lpstr>
      <vt:lpstr>Answers</vt:lpstr>
      <vt:lpstr>Dates2027</vt:lpstr>
      <vt:lpstr>'Generic 5yr Budget'!Print_Area</vt:lpstr>
      <vt:lpstr>ValidProjectTypes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Gina L Billiot</cp:lastModifiedBy>
  <cp:lastPrinted>2015-05-01T18:12:11Z</cp:lastPrinted>
  <dcterms:created xsi:type="dcterms:W3CDTF">1999-02-04T15:36:47Z</dcterms:created>
  <dcterms:modified xsi:type="dcterms:W3CDTF">2025-06-27T20:52:51Z</dcterms:modified>
</cp:coreProperties>
</file>